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wing Model Full List" sheetId="1" r:id="rId4"/>
    <sheet state="visible" name="Option + Momentum" sheetId="2" r:id="rId5"/>
    <sheet state="visible" name="Momentum + Seasonality" sheetId="3" r:id="rId6"/>
    <sheet state="visible" name="Option + Momentum + Seasonality" sheetId="4" r:id="rId7"/>
  </sheets>
  <definedNames/>
  <calcPr/>
</workbook>
</file>

<file path=xl/sharedStrings.xml><?xml version="1.0" encoding="utf-8"?>
<sst xmlns="http://schemas.openxmlformats.org/spreadsheetml/2006/main" count="3292" uniqueCount="939">
  <si>
    <t>Levels Date</t>
  </si>
  <si>
    <t>Ticker</t>
  </si>
  <si>
    <t>Bias</t>
  </si>
  <si>
    <t>Risk Trigger</t>
  </si>
  <si>
    <t>Swing Level</t>
  </si>
  <si>
    <t>Level Value</t>
  </si>
  <si>
    <t>Q-Score Option</t>
  </si>
  <si>
    <t>Q-Score Volatility</t>
  </si>
  <si>
    <t>Q-Score Momentum</t>
  </si>
  <si>
    <t>Q-Score Seasonality</t>
  </si>
  <si>
    <t>Open Price 07/28/2025</t>
  </si>
  <si>
    <t>Close Price 08/01/2025</t>
  </si>
  <si>
    <t>Return</t>
  </si>
  <si>
    <t>P&amp;L</t>
  </si>
  <si>
    <t>Strategy</t>
  </si>
  <si>
    <t>Win</t>
  </si>
  <si>
    <t>Number of Stocks</t>
  </si>
  <si>
    <t>plug</t>
  </si>
  <si>
    <t>Bullish</t>
  </si>
  <si>
    <t>LB</t>
  </si>
  <si>
    <t>Long / Short Strategy</t>
  </si>
  <si>
    <t>tmc</t>
  </si>
  <si>
    <t>Win Rate</t>
  </si>
  <si>
    <t>riot</t>
  </si>
  <si>
    <t>Portfolio Size</t>
  </si>
  <si>
    <t>sklz</t>
  </si>
  <si>
    <t>open</t>
  </si>
  <si>
    <t>Return %</t>
  </si>
  <si>
    <t>car</t>
  </si>
  <si>
    <t>coin</t>
  </si>
  <si>
    <t>Options Strategy</t>
  </si>
  <si>
    <t>mrna</t>
  </si>
  <si>
    <t>shak</t>
  </si>
  <si>
    <t>htz</t>
  </si>
  <si>
    <t>ups</t>
  </si>
  <si>
    <t>lcid</t>
  </si>
  <si>
    <t>tlry</t>
  </si>
  <si>
    <t>arm</t>
  </si>
  <si>
    <t>tdoc</t>
  </si>
  <si>
    <t>unh</t>
  </si>
  <si>
    <t>race</t>
  </si>
  <si>
    <t>love</t>
  </si>
  <si>
    <t>lumn</t>
  </si>
  <si>
    <t>pypl</t>
  </si>
  <si>
    <t>li</t>
  </si>
  <si>
    <t>ai</t>
  </si>
  <si>
    <t>ebay</t>
  </si>
  <si>
    <t>Bearish</t>
  </si>
  <si>
    <t>UB</t>
  </si>
  <si>
    <t>roku</t>
  </si>
  <si>
    <t>mara</t>
  </si>
  <si>
    <t>grpn</t>
  </si>
  <si>
    <t>mstr</t>
  </si>
  <si>
    <t>alt</t>
  </si>
  <si>
    <t>rivn</t>
  </si>
  <si>
    <t>amc</t>
  </si>
  <si>
    <t>spce</t>
  </si>
  <si>
    <t>vmeo</t>
  </si>
  <si>
    <t>bitu</t>
  </si>
  <si>
    <t>fsly</t>
  </si>
  <si>
    <t>rgti</t>
  </si>
  <si>
    <t>veri</t>
  </si>
  <si>
    <t>bitx</t>
  </si>
  <si>
    <t>rcl</t>
  </si>
  <si>
    <t>grab</t>
  </si>
  <si>
    <t>fcx</t>
  </si>
  <si>
    <t>upwk</t>
  </si>
  <si>
    <t>siri</t>
  </si>
  <si>
    <t>team</t>
  </si>
  <si>
    <t>ddog</t>
  </si>
  <si>
    <t>bito</t>
  </si>
  <si>
    <t>fdx</t>
  </si>
  <si>
    <t>abnb</t>
  </si>
  <si>
    <t>run</t>
  </si>
  <si>
    <t>jmia</t>
  </si>
  <si>
    <t>ocgn</t>
  </si>
  <si>
    <t>etha</t>
  </si>
  <si>
    <t>ethe</t>
  </si>
  <si>
    <t>ccj</t>
  </si>
  <si>
    <t>spot</t>
  </si>
  <si>
    <t>urnm</t>
  </si>
  <si>
    <t>s</t>
  </si>
  <si>
    <t>sbux</t>
  </si>
  <si>
    <t>rily</t>
  </si>
  <si>
    <t>vfc</t>
  </si>
  <si>
    <t>snap</t>
  </si>
  <si>
    <t>corz</t>
  </si>
  <si>
    <t>clov</t>
  </si>
  <si>
    <t>sedg</t>
  </si>
  <si>
    <t>twlo</t>
  </si>
  <si>
    <t>aqst</t>
  </si>
  <si>
    <t>amzn</t>
  </si>
  <si>
    <t>bitf</t>
  </si>
  <si>
    <t>cgc</t>
  </si>
  <si>
    <t>gern</t>
  </si>
  <si>
    <t>teva</t>
  </si>
  <si>
    <t>rh</t>
  </si>
  <si>
    <t>acb</t>
  </si>
  <si>
    <t>wday</t>
  </si>
  <si>
    <t>aa</t>
  </si>
  <si>
    <t>wfc</t>
  </si>
  <si>
    <t>oklo</t>
  </si>
  <si>
    <t>dlo</t>
  </si>
  <si>
    <t>dnn</t>
  </si>
  <si>
    <t>bb</t>
  </si>
  <si>
    <t>docu</t>
  </si>
  <si>
    <t>scco</t>
  </si>
  <si>
    <t>acls</t>
  </si>
  <si>
    <t>ual</t>
  </si>
  <si>
    <t>maa</t>
  </si>
  <si>
    <t>asan</t>
  </si>
  <si>
    <t>jd</t>
  </si>
  <si>
    <t>ktos</t>
  </si>
  <si>
    <t>qcom</t>
  </si>
  <si>
    <t>abev</t>
  </si>
  <si>
    <t>irwd</t>
  </si>
  <si>
    <t>ag</t>
  </si>
  <si>
    <t>wal</t>
  </si>
  <si>
    <t>pdd</t>
  </si>
  <si>
    <t>mbly</t>
  </si>
  <si>
    <t>vktx</t>
  </si>
  <si>
    <t>are</t>
  </si>
  <si>
    <t>dal</t>
  </si>
  <si>
    <t>eqr</t>
  </si>
  <si>
    <t>crm</t>
  </si>
  <si>
    <t>docs</t>
  </si>
  <si>
    <t>rig</t>
  </si>
  <si>
    <t>kodk</t>
  </si>
  <si>
    <t>mgm</t>
  </si>
  <si>
    <t>upst</t>
  </si>
  <si>
    <t>labu</t>
  </si>
  <si>
    <t>snow</t>
  </si>
  <si>
    <t>tecl</t>
  </si>
  <si>
    <t>m</t>
  </si>
  <si>
    <t>srg</t>
  </si>
  <si>
    <t>mt</t>
  </si>
  <si>
    <t>joby</t>
  </si>
  <si>
    <t>rklb</t>
  </si>
  <si>
    <t>kkr</t>
  </si>
  <si>
    <t>pstg</t>
  </si>
  <si>
    <t>jbht</t>
  </si>
  <si>
    <t>dov</t>
  </si>
  <si>
    <t>tan</t>
  </si>
  <si>
    <t>arkf</t>
  </si>
  <si>
    <t>iwc</t>
  </si>
  <si>
    <t>now</t>
  </si>
  <si>
    <t>fds</t>
  </si>
  <si>
    <t>avy</t>
  </si>
  <si>
    <t>bntx</t>
  </si>
  <si>
    <t>lly</t>
  </si>
  <si>
    <t>paas</t>
  </si>
  <si>
    <t>syk</t>
  </si>
  <si>
    <t>mrk</t>
  </si>
  <si>
    <t>okta</t>
  </si>
  <si>
    <t>mu</t>
  </si>
  <si>
    <t>jets</t>
  </si>
  <si>
    <t>vtrs</t>
  </si>
  <si>
    <t>tgt</t>
  </si>
  <si>
    <t>etsy</t>
  </si>
  <si>
    <t>wab</t>
  </si>
  <si>
    <t>stne</t>
  </si>
  <si>
    <t>tal</t>
  </si>
  <si>
    <t>shop</t>
  </si>
  <si>
    <t>root</t>
  </si>
  <si>
    <t>payx</t>
  </si>
  <si>
    <t>rf</t>
  </si>
  <si>
    <t>nok</t>
  </si>
  <si>
    <t>cccc</t>
  </si>
  <si>
    <t>bac</t>
  </si>
  <si>
    <t>f</t>
  </si>
  <si>
    <t>gsat</t>
  </si>
  <si>
    <t>tme</t>
  </si>
  <si>
    <t>jnug</t>
  </si>
  <si>
    <t>hood</t>
  </si>
  <si>
    <t>met</t>
  </si>
  <si>
    <t>clx</t>
  </si>
  <si>
    <t>up</t>
  </si>
  <si>
    <t>mmc</t>
  </si>
  <si>
    <t>axp</t>
  </si>
  <si>
    <t>tgtx</t>
  </si>
  <si>
    <t>nke</t>
  </si>
  <si>
    <t>nu</t>
  </si>
  <si>
    <t>hl</t>
  </si>
  <si>
    <t>kre</t>
  </si>
  <si>
    <t>atat</t>
  </si>
  <si>
    <t>aapl</t>
  </si>
  <si>
    <t>rsg</t>
  </si>
  <si>
    <t>apd</t>
  </si>
  <si>
    <t>cake</t>
  </si>
  <si>
    <t>gme</t>
  </si>
  <si>
    <t>lyft</t>
  </si>
  <si>
    <t>pzza</t>
  </si>
  <si>
    <t>ndsn</t>
  </si>
  <si>
    <t>payc</t>
  </si>
  <si>
    <t>momo</t>
  </si>
  <si>
    <t>dks</t>
  </si>
  <si>
    <t>pnc</t>
  </si>
  <si>
    <t>crwd</t>
  </si>
  <si>
    <t>silj</t>
  </si>
  <si>
    <t>skyy</t>
  </si>
  <si>
    <t>crl</t>
  </si>
  <si>
    <t>tbt</t>
  </si>
  <si>
    <t>expe</t>
  </si>
  <si>
    <t>usb</t>
  </si>
  <si>
    <t>cpng</t>
  </si>
  <si>
    <t>ggll</t>
  </si>
  <si>
    <t>tsla</t>
  </si>
  <si>
    <t>qld</t>
  </si>
  <si>
    <t>key</t>
  </si>
  <si>
    <t>a</t>
  </si>
  <si>
    <t>wbd</t>
  </si>
  <si>
    <t>pcar</t>
  </si>
  <si>
    <t>jci</t>
  </si>
  <si>
    <t>bidu</t>
  </si>
  <si>
    <t>nue</t>
  </si>
  <si>
    <t>kweb</t>
  </si>
  <si>
    <t>pgj</t>
  </si>
  <si>
    <t>cl</t>
  </si>
  <si>
    <t>doc</t>
  </si>
  <si>
    <t>hsic</t>
  </si>
  <si>
    <t>ba</t>
  </si>
  <si>
    <t>clbt</t>
  </si>
  <si>
    <t>hpe</t>
  </si>
  <si>
    <t>ihf</t>
  </si>
  <si>
    <t>apa</t>
  </si>
  <si>
    <t>pfe</t>
  </si>
  <si>
    <t>uber</t>
  </si>
  <si>
    <t>hut</t>
  </si>
  <si>
    <t>mchp</t>
  </si>
  <si>
    <t>aon</t>
  </si>
  <si>
    <t>btc</t>
  </si>
  <si>
    <t>fi</t>
  </si>
  <si>
    <t>v</t>
  </si>
  <si>
    <t>asts</t>
  </si>
  <si>
    <t>vfs</t>
  </si>
  <si>
    <t>amat</t>
  </si>
  <si>
    <t>afl</t>
  </si>
  <si>
    <t>nn</t>
  </si>
  <si>
    <t>hban</t>
  </si>
  <si>
    <t>psx</t>
  </si>
  <si>
    <t>fxi</t>
  </si>
  <si>
    <t>mag</t>
  </si>
  <si>
    <t>ibit</t>
  </si>
  <si>
    <t>kvue</t>
  </si>
  <si>
    <t>cava</t>
  </si>
  <si>
    <t>etn</t>
  </si>
  <si>
    <t>sfm</t>
  </si>
  <si>
    <t>pool</t>
  </si>
  <si>
    <t>metv</t>
  </si>
  <si>
    <t>amcr</t>
  </si>
  <si>
    <t>mtb</t>
  </si>
  <si>
    <t>pg</t>
  </si>
  <si>
    <t>fast</t>
  </si>
  <si>
    <t>c</t>
  </si>
  <si>
    <t>kbe</t>
  </si>
  <si>
    <t>copx</t>
  </si>
  <si>
    <t>dvax</t>
  </si>
  <si>
    <t>lu</t>
  </si>
  <si>
    <t>mtd</t>
  </si>
  <si>
    <t>lyv</t>
  </si>
  <si>
    <t>hubb</t>
  </si>
  <si>
    <t>rok</t>
  </si>
  <si>
    <t>bx</t>
  </si>
  <si>
    <t>uhs</t>
  </si>
  <si>
    <t>bldr</t>
  </si>
  <si>
    <t>box</t>
  </si>
  <si>
    <t>ibuy</t>
  </si>
  <si>
    <t>hal</t>
  </si>
  <si>
    <t>mmm</t>
  </si>
  <si>
    <t>kce</t>
  </si>
  <si>
    <t>vxz</t>
  </si>
  <si>
    <t>pru</t>
  </si>
  <si>
    <t>dpz</t>
  </si>
  <si>
    <t>sil</t>
  </si>
  <si>
    <t>ibkr</t>
  </si>
  <si>
    <t>baba</t>
  </si>
  <si>
    <t>cibr</t>
  </si>
  <si>
    <t>eqx</t>
  </si>
  <si>
    <t>cour</t>
  </si>
  <si>
    <t>iwo</t>
  </si>
  <si>
    <t>gpc</t>
  </si>
  <si>
    <t>mdy</t>
  </si>
  <si>
    <t>oke</t>
  </si>
  <si>
    <t>frt</t>
  </si>
  <si>
    <t>botz</t>
  </si>
  <si>
    <t>oxy</t>
  </si>
  <si>
    <t>fis</t>
  </si>
  <si>
    <t>trow</t>
  </si>
  <si>
    <t>cmi</t>
  </si>
  <si>
    <t>eqix</t>
  </si>
  <si>
    <t>tsly</t>
  </si>
  <si>
    <t>mos</t>
  </si>
  <si>
    <t>ecl</t>
  </si>
  <si>
    <t>dis</t>
  </si>
  <si>
    <t>spg</t>
  </si>
  <si>
    <t>mdt</t>
  </si>
  <si>
    <t>stt</t>
  </si>
  <si>
    <t>cci</t>
  </si>
  <si>
    <t>vgk</t>
  </si>
  <si>
    <t>sna</t>
  </si>
  <si>
    <t>udr</t>
  </si>
  <si>
    <t>u</t>
  </si>
  <si>
    <t>dell</t>
  </si>
  <si>
    <t>pltr</t>
  </si>
  <si>
    <t>nugt</t>
  </si>
  <si>
    <t>cmcsa</t>
  </si>
  <si>
    <t>uri</t>
  </si>
  <si>
    <t>hrl</t>
  </si>
  <si>
    <t>celh</t>
  </si>
  <si>
    <t>pej</t>
  </si>
  <si>
    <t>j</t>
  </si>
  <si>
    <t>ubs</t>
  </si>
  <si>
    <t>gis</t>
  </si>
  <si>
    <t>veev</t>
  </si>
  <si>
    <t>msox</t>
  </si>
  <si>
    <t>epd</t>
  </si>
  <si>
    <t>crbg</t>
  </si>
  <si>
    <t>mdyg</t>
  </si>
  <si>
    <t>ewy</t>
  </si>
  <si>
    <t>kie</t>
  </si>
  <si>
    <t>hon</t>
  </si>
  <si>
    <t>aiq</t>
  </si>
  <si>
    <t>pgr</t>
  </si>
  <si>
    <t>rsp</t>
  </si>
  <si>
    <t>wat</t>
  </si>
  <si>
    <t>ffty</t>
  </si>
  <si>
    <t>mnso</t>
  </si>
  <si>
    <t>lpla</t>
  </si>
  <si>
    <t>fwonk</t>
  </si>
  <si>
    <t>regn</t>
  </si>
  <si>
    <t>tsm</t>
  </si>
  <si>
    <t>ttan</t>
  </si>
  <si>
    <t>jblu</t>
  </si>
  <si>
    <t>rjf</t>
  </si>
  <si>
    <t>ben</t>
  </si>
  <si>
    <t>adi</t>
  </si>
  <si>
    <t>trmb</t>
  </si>
  <si>
    <t>hwm</t>
  </si>
  <si>
    <t>sivr</t>
  </si>
  <si>
    <t>cop</t>
  </si>
  <si>
    <t>slv</t>
  </si>
  <si>
    <t>mc</t>
  </si>
  <si>
    <t>iyr</t>
  </si>
  <si>
    <t>br</t>
  </si>
  <si>
    <t>jepi</t>
  </si>
  <si>
    <t>mhk</t>
  </si>
  <si>
    <t>se</t>
  </si>
  <si>
    <t>cgnt</t>
  </si>
  <si>
    <t>de</t>
  </si>
  <si>
    <t>drd</t>
  </si>
  <si>
    <t>vly</t>
  </si>
  <si>
    <t>amp</t>
  </si>
  <si>
    <t>amgn</t>
  </si>
  <si>
    <t>chd</t>
  </si>
  <si>
    <t>hezu</t>
  </si>
  <si>
    <t>dia</t>
  </si>
  <si>
    <t>cag</t>
  </si>
  <si>
    <t>cart</t>
  </si>
  <si>
    <t>icln</t>
  </si>
  <si>
    <t>blk</t>
  </si>
  <si>
    <t>dkng</t>
  </si>
  <si>
    <t>ctva</t>
  </si>
  <si>
    <t>vnq</t>
  </si>
  <si>
    <t>efa</t>
  </si>
  <si>
    <t>jpm</t>
  </si>
  <si>
    <t>cprt</t>
  </si>
  <si>
    <t>fngs</t>
  </si>
  <si>
    <t>ms</t>
  </si>
  <si>
    <t>msci</t>
  </si>
  <si>
    <t>vtv</t>
  </si>
  <si>
    <t>robo</t>
  </si>
  <si>
    <t>dlr</t>
  </si>
  <si>
    <t>acmr</t>
  </si>
  <si>
    <t>agi</t>
  </si>
  <si>
    <t>atmu</t>
  </si>
  <si>
    <t>ashr</t>
  </si>
  <si>
    <t>weat</t>
  </si>
  <si>
    <t>vym</t>
  </si>
  <si>
    <t>gdxj</t>
  </si>
  <si>
    <t>vti</t>
  </si>
  <si>
    <t>dino</t>
  </si>
  <si>
    <t>ihi</t>
  </si>
  <si>
    <t>byd</t>
  </si>
  <si>
    <t>ball</t>
  </si>
  <si>
    <t>nsc</t>
  </si>
  <si>
    <t>adp</t>
  </si>
  <si>
    <t>lrcx</t>
  </si>
  <si>
    <t>cof</t>
  </si>
  <si>
    <t>tgls</t>
  </si>
  <si>
    <t>cma</t>
  </si>
  <si>
    <t>iefa</t>
  </si>
  <si>
    <t>itot</t>
  </si>
  <si>
    <t>mtch</t>
  </si>
  <si>
    <t>tmo</t>
  </si>
  <si>
    <t>trgp</t>
  </si>
  <si>
    <t>vo</t>
  </si>
  <si>
    <t>sptm</t>
  </si>
  <si>
    <t>iwb</t>
  </si>
  <si>
    <t>cvx</t>
  </si>
  <si>
    <t>pr</t>
  </si>
  <si>
    <t>gs</t>
  </si>
  <si>
    <t>jepq</t>
  </si>
  <si>
    <t>ccl</t>
  </si>
  <si>
    <t>vea</t>
  </si>
  <si>
    <t>vgt</t>
  </si>
  <si>
    <t>voo</t>
  </si>
  <si>
    <t>ndx</t>
  </si>
  <si>
    <t>adsk</t>
  </si>
  <si>
    <t>splg</t>
  </si>
  <si>
    <t>ivv</t>
  </si>
  <si>
    <t>vt</t>
  </si>
  <si>
    <t>spy</t>
  </si>
  <si>
    <t>mck</t>
  </si>
  <si>
    <t>agnc</t>
  </si>
  <si>
    <t>ldos</t>
  </si>
  <si>
    <t>fox</t>
  </si>
  <si>
    <t>vig</t>
  </si>
  <si>
    <t>qqq</t>
  </si>
  <si>
    <t>ppl</t>
  </si>
  <si>
    <t>vxus</t>
  </si>
  <si>
    <t>pep</t>
  </si>
  <si>
    <t>cf</t>
  </si>
  <si>
    <t>brk.b</t>
  </si>
  <si>
    <t>rl</t>
  </si>
  <si>
    <t>pnr</t>
  </si>
  <si>
    <t>qrvo</t>
  </si>
  <si>
    <t>geo</t>
  </si>
  <si>
    <t>afrm</t>
  </si>
  <si>
    <t>googl</t>
  </si>
  <si>
    <t>tsco</t>
  </si>
  <si>
    <t>tel</t>
  </si>
  <si>
    <t>o</t>
  </si>
  <si>
    <t>goog</t>
  </si>
  <si>
    <t>vug</t>
  </si>
  <si>
    <t>usd</t>
  </si>
  <si>
    <t>mgk</t>
  </si>
  <si>
    <t>msi</t>
  </si>
  <si>
    <t>rmd</t>
  </si>
  <si>
    <t>nail</t>
  </si>
  <si>
    <t>quik</t>
  </si>
  <si>
    <t>tmus</t>
  </si>
  <si>
    <t>eem</t>
  </si>
  <si>
    <t>hrb</t>
  </si>
  <si>
    <t>iemg</t>
  </si>
  <si>
    <t>ashs</t>
  </si>
  <si>
    <t>tpr</t>
  </si>
  <si>
    <t>ar</t>
  </si>
  <si>
    <t>ipo</t>
  </si>
  <si>
    <t>ntrs</t>
  </si>
  <si>
    <t>vwo</t>
  </si>
  <si>
    <t>mags</t>
  </si>
  <si>
    <t>pm</t>
  </si>
  <si>
    <t>ivw</t>
  </si>
  <si>
    <t>csx</t>
  </si>
  <si>
    <t>nee</t>
  </si>
  <si>
    <t>ggme</t>
  </si>
  <si>
    <t>spyg</t>
  </si>
  <si>
    <t>ita</t>
  </si>
  <si>
    <t>tdy</t>
  </si>
  <si>
    <t>iwf</t>
  </si>
  <si>
    <t>foxa</t>
  </si>
  <si>
    <t>ppa</t>
  </si>
  <si>
    <t>tdg</t>
  </si>
  <si>
    <t>podd</t>
  </si>
  <si>
    <t>lin</t>
  </si>
  <si>
    <t>adm</t>
  </si>
  <si>
    <t>mco</t>
  </si>
  <si>
    <t>tfpm</t>
  </si>
  <si>
    <t>dgx</t>
  </si>
  <si>
    <t>cinf</t>
  </si>
  <si>
    <t>uec</t>
  </si>
  <si>
    <t>aci</t>
  </si>
  <si>
    <t>cytk</t>
  </si>
  <si>
    <t>exas</t>
  </si>
  <si>
    <t>ares</t>
  </si>
  <si>
    <t>cost</t>
  </si>
  <si>
    <t>mnst</t>
  </si>
  <si>
    <t>ritm</t>
  </si>
  <si>
    <t>bp</t>
  </si>
  <si>
    <t>aos</t>
  </si>
  <si>
    <t>nvs</t>
  </si>
  <si>
    <t>ibb</t>
  </si>
  <si>
    <t>nly</t>
  </si>
  <si>
    <t>vod</t>
  </si>
  <si>
    <t>kbwp</t>
  </si>
  <si>
    <t>schw</t>
  </si>
  <si>
    <t>shw</t>
  </si>
  <si>
    <t>sbac</t>
  </si>
  <si>
    <t>au</t>
  </si>
  <si>
    <t>jbl</t>
  </si>
  <si>
    <t>sam</t>
  </si>
  <si>
    <t>vale</t>
  </si>
  <si>
    <t>aph</t>
  </si>
  <si>
    <t>ge</t>
  </si>
  <si>
    <t>has</t>
  </si>
  <si>
    <t>glng</t>
  </si>
  <si>
    <t>ulta</t>
  </si>
  <si>
    <t>chwy</t>
  </si>
  <si>
    <t>es</t>
  </si>
  <si>
    <t>ew</t>
  </si>
  <si>
    <t>su</t>
  </si>
  <si>
    <t>nwsa</t>
  </si>
  <si>
    <t>vnqi</t>
  </si>
  <si>
    <t>ma</t>
  </si>
  <si>
    <t>gdx</t>
  </si>
  <si>
    <t>avgo</t>
  </si>
  <si>
    <t>gm</t>
  </si>
  <si>
    <t>rost</t>
  </si>
  <si>
    <t>joyy</t>
  </si>
  <si>
    <t>dxj</t>
  </si>
  <si>
    <t>mkc</t>
  </si>
  <si>
    <t>l</t>
  </si>
  <si>
    <t>mlm</t>
  </si>
  <si>
    <t>mktx</t>
  </si>
  <si>
    <t>tur</t>
  </si>
  <si>
    <t>expd</t>
  </si>
  <si>
    <t>vrtx</t>
  </si>
  <si>
    <t>intu</t>
  </si>
  <si>
    <t>on</t>
  </si>
  <si>
    <t>bk</t>
  </si>
  <si>
    <t>uco</t>
  </si>
  <si>
    <t>nvdx</t>
  </si>
  <si>
    <t>lvs</t>
  </si>
  <si>
    <t>erie</t>
  </si>
  <si>
    <t>arwr</t>
  </si>
  <si>
    <t>uso</t>
  </si>
  <si>
    <t>gd</t>
  </si>
  <si>
    <t>mrvl</t>
  </si>
  <si>
    <t>eww</t>
  </si>
  <si>
    <t>cor</t>
  </si>
  <si>
    <t>espo</t>
  </si>
  <si>
    <t>nvdl</t>
  </si>
  <si>
    <t>bsx</t>
  </si>
  <si>
    <t>nvdu</t>
  </si>
  <si>
    <t>reg</t>
  </si>
  <si>
    <t>b</t>
  </si>
  <si>
    <t>w</t>
  </si>
  <si>
    <t>he</t>
  </si>
  <si>
    <t>cvac</t>
  </si>
  <si>
    <t>fxe</t>
  </si>
  <si>
    <t>socl</t>
  </si>
  <si>
    <t>lqd</t>
  </si>
  <si>
    <t>ewj</t>
  </si>
  <si>
    <t>et</t>
  </si>
  <si>
    <t>trv</t>
  </si>
  <si>
    <t>t</t>
  </si>
  <si>
    <t>udn</t>
  </si>
  <si>
    <t>orcl</t>
  </si>
  <si>
    <t>ctra</t>
  </si>
  <si>
    <t>ttd</t>
  </si>
  <si>
    <t>cat</t>
  </si>
  <si>
    <t>ewz</t>
  </si>
  <si>
    <t>vici</t>
  </si>
  <si>
    <t>lh</t>
  </si>
  <si>
    <t>dri</t>
  </si>
  <si>
    <t>dte</t>
  </si>
  <si>
    <t>meli</t>
  </si>
  <si>
    <t>fxf</t>
  </si>
  <si>
    <t>ax</t>
  </si>
  <si>
    <t>net</t>
  </si>
  <si>
    <t>ato</t>
  </si>
  <si>
    <t>pff</t>
  </si>
  <si>
    <t>vz</t>
  </si>
  <si>
    <t>cort</t>
  </si>
  <si>
    <t>jnj</t>
  </si>
  <si>
    <t>rol</t>
  </si>
  <si>
    <t>urbn</t>
  </si>
  <si>
    <t>ctas</t>
  </si>
  <si>
    <t>bil</t>
  </si>
  <si>
    <t>tjx</t>
  </si>
  <si>
    <t>shv</t>
  </si>
  <si>
    <t>fix</t>
  </si>
  <si>
    <t>so</t>
  </si>
  <si>
    <t>rtx</t>
  </si>
  <si>
    <t>pins</t>
  </si>
  <si>
    <t>chpt</t>
  </si>
  <si>
    <t>pnw</t>
  </si>
  <si>
    <t>aem</t>
  </si>
  <si>
    <t>syy</t>
  </si>
  <si>
    <t>gild</t>
  </si>
  <si>
    <t>nvda</t>
  </si>
  <si>
    <t>low</t>
  </si>
  <si>
    <t>para</t>
  </si>
  <si>
    <t>k</t>
  </si>
  <si>
    <t>sjm</t>
  </si>
  <si>
    <t>mtum</t>
  </si>
  <si>
    <t>pbr</t>
  </si>
  <si>
    <t>emb</t>
  </si>
  <si>
    <t>kr</t>
  </si>
  <si>
    <t>hd</t>
  </si>
  <si>
    <t>hig</t>
  </si>
  <si>
    <t>nat</t>
  </si>
  <si>
    <t>hei</t>
  </si>
  <si>
    <t>cboe</t>
  </si>
  <si>
    <t>klg</t>
  </si>
  <si>
    <t>sofi</t>
  </si>
  <si>
    <t>alle</t>
  </si>
  <si>
    <t>stip</t>
  </si>
  <si>
    <t>nvd</t>
  </si>
  <si>
    <t>dash</t>
  </si>
  <si>
    <t>fang</t>
  </si>
  <si>
    <t>fslr</t>
  </si>
  <si>
    <t>shy</t>
  </si>
  <si>
    <t>ko</t>
  </si>
  <si>
    <t>tfx</t>
  </si>
  <si>
    <t>dltr</t>
  </si>
  <si>
    <t>uga</t>
  </si>
  <si>
    <t>cohr</t>
  </si>
  <si>
    <t>ndaq</t>
  </si>
  <si>
    <t>bndx</t>
  </si>
  <si>
    <t>axon</t>
  </si>
  <si>
    <t>sre</t>
  </si>
  <si>
    <t>ice</t>
  </si>
  <si>
    <t>vmc</t>
  </si>
  <si>
    <t>wba</t>
  </si>
  <si>
    <t>nio</t>
  </si>
  <si>
    <t>nvds</t>
  </si>
  <si>
    <t>tip</t>
  </si>
  <si>
    <t>sco</t>
  </si>
  <si>
    <t>cpb</t>
  </si>
  <si>
    <t>aiz</t>
  </si>
  <si>
    <t>fxy</t>
  </si>
  <si>
    <t>biib</t>
  </si>
  <si>
    <t>nvdy</t>
  </si>
  <si>
    <t>csco</t>
  </si>
  <si>
    <t>cb</t>
  </si>
  <si>
    <t>mub</t>
  </si>
  <si>
    <t>phm</t>
  </si>
  <si>
    <t>itb</t>
  </si>
  <si>
    <t>nbis</t>
  </si>
  <si>
    <t>abus</t>
  </si>
  <si>
    <t>uup</t>
  </si>
  <si>
    <t>msos</t>
  </si>
  <si>
    <t>acgl</t>
  </si>
  <si>
    <t>eix</t>
  </si>
  <si>
    <t>kdp</t>
  </si>
  <si>
    <t>hyg</t>
  </si>
  <si>
    <t>usmv</t>
  </si>
  <si>
    <t>or</t>
  </si>
  <si>
    <t>cah</t>
  </si>
  <si>
    <t>el</t>
  </si>
  <si>
    <t>cme</t>
  </si>
  <si>
    <t>bnd</t>
  </si>
  <si>
    <t>agg</t>
  </si>
  <si>
    <t>pcg</t>
  </si>
  <si>
    <t>wec</t>
  </si>
  <si>
    <t>gld</t>
  </si>
  <si>
    <t>abt</t>
  </si>
  <si>
    <t>iau</t>
  </si>
  <si>
    <t>len</t>
  </si>
  <si>
    <t>hewj</t>
  </si>
  <si>
    <t>jnk</t>
  </si>
  <si>
    <t>govt</t>
  </si>
  <si>
    <t>ardx</t>
  </si>
  <si>
    <t>ame</t>
  </si>
  <si>
    <t>bg</t>
  </si>
  <si>
    <t>lnt</t>
  </si>
  <si>
    <t>flgt</t>
  </si>
  <si>
    <t>pton</t>
  </si>
  <si>
    <t>lmt</t>
  </si>
  <si>
    <t>ief</t>
  </si>
  <si>
    <t>dht</t>
  </si>
  <si>
    <t>ni</t>
  </si>
  <si>
    <t>nws</t>
  </si>
  <si>
    <t>ste</t>
  </si>
  <si>
    <t>eg</t>
  </si>
  <si>
    <t>flex</t>
  </si>
  <si>
    <t>dg</t>
  </si>
  <si>
    <t>acad</t>
  </si>
  <si>
    <t>mplx</t>
  </si>
  <si>
    <t>azo</t>
  </si>
  <si>
    <t>holx</t>
  </si>
  <si>
    <t>smci</t>
  </si>
  <si>
    <t>orly</t>
  </si>
  <si>
    <t>amd</t>
  </si>
  <si>
    <t>kgc</t>
  </si>
  <si>
    <t>lite</t>
  </si>
  <si>
    <t>peg</t>
  </si>
  <si>
    <t>mp</t>
  </si>
  <si>
    <t>rytm</t>
  </si>
  <si>
    <t>azn</t>
  </si>
  <si>
    <t>etr</t>
  </si>
  <si>
    <t>exc</t>
  </si>
  <si>
    <t>vrt</t>
  </si>
  <si>
    <t>mas</t>
  </si>
  <si>
    <t>cve</t>
  </si>
  <si>
    <t>ung</t>
  </si>
  <si>
    <t>hii</t>
  </si>
  <si>
    <t>vtr</t>
  </si>
  <si>
    <t>gl</t>
  </si>
  <si>
    <t>kmi</t>
  </si>
  <si>
    <t>hsy</t>
  </si>
  <si>
    <t>csgp</t>
  </si>
  <si>
    <t>fubo</t>
  </si>
  <si>
    <t>nflx</t>
  </si>
  <si>
    <t>msft</t>
  </si>
  <si>
    <t>mcd</t>
  </si>
  <si>
    <t>fnd</t>
  </si>
  <si>
    <t>smh</t>
  </si>
  <si>
    <t>nclh</t>
  </si>
  <si>
    <t>tsn</t>
  </si>
  <si>
    <t>tua</t>
  </si>
  <si>
    <t>abbv</t>
  </si>
  <si>
    <t>tlt</t>
  </si>
  <si>
    <t>lng</t>
  </si>
  <si>
    <t>vlto</t>
  </si>
  <si>
    <t>aee</t>
  </si>
  <si>
    <t>cms</t>
  </si>
  <si>
    <t>stx</t>
  </si>
  <si>
    <t>snps</t>
  </si>
  <si>
    <t>anet</t>
  </si>
  <si>
    <t>efx</t>
  </si>
  <si>
    <t>all</t>
  </si>
  <si>
    <t>snex</t>
  </si>
  <si>
    <t>qqqm</t>
  </si>
  <si>
    <t>evrg</t>
  </si>
  <si>
    <t>ed</t>
  </si>
  <si>
    <t>unp</t>
  </si>
  <si>
    <t>psq</t>
  </si>
  <si>
    <t>eog</t>
  </si>
  <si>
    <t>mfin</t>
  </si>
  <si>
    <t>ffiv</t>
  </si>
  <si>
    <t>sh</t>
  </si>
  <si>
    <t>iai</t>
  </si>
  <si>
    <t>ego</t>
  </si>
  <si>
    <t>duk</t>
  </si>
  <si>
    <t>psa</t>
  </si>
  <si>
    <t>cnp</t>
  </si>
  <si>
    <t>lhx</t>
  </si>
  <si>
    <t>kold</t>
  </si>
  <si>
    <t>soxx</t>
  </si>
  <si>
    <t>gev</t>
  </si>
  <si>
    <t>eqt</t>
  </si>
  <si>
    <t>kmb</t>
  </si>
  <si>
    <t>noc</t>
  </si>
  <si>
    <t>vitl</t>
  </si>
  <si>
    <t>d</t>
  </si>
  <si>
    <t>dust</t>
  </si>
  <si>
    <t>well</t>
  </si>
  <si>
    <t>ewg</t>
  </si>
  <si>
    <t>fe</t>
  </si>
  <si>
    <t>cvs</t>
  </si>
  <si>
    <t>sphb</t>
  </si>
  <si>
    <t>ceg</t>
  </si>
  <si>
    <t>iwd</t>
  </si>
  <si>
    <t>gfi</t>
  </si>
  <si>
    <t>spgi</t>
  </si>
  <si>
    <t>anf</t>
  </si>
  <si>
    <t>klac</t>
  </si>
  <si>
    <t>ttwo</t>
  </si>
  <si>
    <t>huya</t>
  </si>
  <si>
    <t>lnth</t>
  </si>
  <si>
    <t>isrg</t>
  </si>
  <si>
    <t>mo</t>
  </si>
  <si>
    <t>app</t>
  </si>
  <si>
    <t>ptc</t>
  </si>
  <si>
    <t>aig</t>
  </si>
  <si>
    <t>aep</t>
  </si>
  <si>
    <t>txn</t>
  </si>
  <si>
    <t>tap</t>
  </si>
  <si>
    <t>dhi</t>
  </si>
  <si>
    <t>alab</t>
  </si>
  <si>
    <t>akba</t>
  </si>
  <si>
    <t>ibm</t>
  </si>
  <si>
    <t>ea</t>
  </si>
  <si>
    <t>iep</t>
  </si>
  <si>
    <t>aal</t>
  </si>
  <si>
    <t>tyl</t>
  </si>
  <si>
    <t>fez</t>
  </si>
  <si>
    <t>hum</t>
  </si>
  <si>
    <t>rblx</t>
  </si>
  <si>
    <t>awk</t>
  </si>
  <si>
    <t>rut</t>
  </si>
  <si>
    <t>carz</t>
  </si>
  <si>
    <t>bti</t>
  </si>
  <si>
    <t>cbre</t>
  </si>
  <si>
    <t>iwm</t>
  </si>
  <si>
    <t>erx</t>
  </si>
  <si>
    <t>simo</t>
  </si>
  <si>
    <t>bwa</t>
  </si>
  <si>
    <t>meta</t>
  </si>
  <si>
    <t>elv</t>
  </si>
  <si>
    <t>jkhy</t>
  </si>
  <si>
    <t>idxx</t>
  </si>
  <si>
    <t>biti</t>
  </si>
  <si>
    <t>qid</t>
  </si>
  <si>
    <t>otis</t>
  </si>
  <si>
    <t>irm</t>
  </si>
  <si>
    <t>be</t>
  </si>
  <si>
    <t>sds</t>
  </si>
  <si>
    <t>svxy</t>
  </si>
  <si>
    <t>sym</t>
  </si>
  <si>
    <t>jdst</t>
  </si>
  <si>
    <t>lnc</t>
  </si>
  <si>
    <t>mpw</t>
  </si>
  <si>
    <t>moh</t>
  </si>
  <si>
    <t>stng</t>
  </si>
  <si>
    <t>gddy</t>
  </si>
  <si>
    <t>fmx</t>
  </si>
  <si>
    <t>ggal</t>
  </si>
  <si>
    <t>oscr</t>
  </si>
  <si>
    <t>nrg</t>
  </si>
  <si>
    <t>stld</t>
  </si>
  <si>
    <t>asml</t>
  </si>
  <si>
    <t>swks</t>
  </si>
  <si>
    <t>adbe</t>
  </si>
  <si>
    <t>duol</t>
  </si>
  <si>
    <t>iyt</t>
  </si>
  <si>
    <t>hims</t>
  </si>
  <si>
    <t>cdns</t>
  </si>
  <si>
    <t>wen</t>
  </si>
  <si>
    <t>tecs</t>
  </si>
  <si>
    <t>intc</t>
  </si>
  <si>
    <t>labd</t>
  </si>
  <si>
    <t>incy</t>
  </si>
  <si>
    <t>tmf</t>
  </si>
  <si>
    <t>edz</t>
  </si>
  <si>
    <t>sqqq</t>
  </si>
  <si>
    <t>vst</t>
  </si>
  <si>
    <t>oih</t>
  </si>
  <si>
    <t>sndl</t>
  </si>
  <si>
    <t>spxs</t>
  </si>
  <si>
    <t>spxu</t>
  </si>
  <si>
    <t>it</t>
  </si>
  <si>
    <t>am</t>
  </si>
  <si>
    <t>soxs</t>
  </si>
  <si>
    <t>arkk</t>
  </si>
  <si>
    <t>iqv</t>
  </si>
  <si>
    <t>avb</t>
  </si>
  <si>
    <t>sark</t>
  </si>
  <si>
    <t>algm</t>
  </si>
  <si>
    <t>gpn</t>
  </si>
  <si>
    <t>cmg</t>
  </si>
  <si>
    <t>ges</t>
  </si>
  <si>
    <t>acn</t>
  </si>
  <si>
    <t>dave</t>
  </si>
  <si>
    <t>drv</t>
  </si>
  <si>
    <t>sdow</t>
  </si>
  <si>
    <t>aap</t>
  </si>
  <si>
    <t>crwv</t>
  </si>
  <si>
    <t>cvna</t>
  </si>
  <si>
    <t>luv</t>
  </si>
  <si>
    <t>fico</t>
  </si>
  <si>
    <t>tmdx</t>
  </si>
  <si>
    <t>wdc</t>
  </si>
  <si>
    <t>vixy</t>
  </si>
  <si>
    <t>rkt</t>
  </si>
  <si>
    <t>pbf</t>
  </si>
  <si>
    <t>chrw</t>
  </si>
  <si>
    <t>epam</t>
  </si>
  <si>
    <t>glw</t>
  </si>
  <si>
    <t>faz</t>
  </si>
  <si>
    <t>uaa</t>
  </si>
  <si>
    <t>enph</t>
  </si>
  <si>
    <t>nnox</t>
  </si>
  <si>
    <t>lulu</t>
  </si>
  <si>
    <t>rmbs</t>
  </si>
  <si>
    <t>dow</t>
  </si>
  <si>
    <t>apld</t>
  </si>
  <si>
    <t>chtr</t>
  </si>
  <si>
    <t>psec</t>
  </si>
  <si>
    <t>cls</t>
  </si>
  <si>
    <t>tza</t>
  </si>
  <si>
    <t>uvxy</t>
  </si>
  <si>
    <t>cony</t>
  </si>
  <si>
    <t>erj</t>
  </si>
  <si>
    <t>wing</t>
  </si>
  <si>
    <t>ati</t>
  </si>
  <si>
    <t>bynd</t>
  </si>
  <si>
    <t>amsc</t>
  </si>
  <si>
    <t>uvix</t>
  </si>
  <si>
    <t>gnrc</t>
  </si>
  <si>
    <t>rddt</t>
  </si>
  <si>
    <t>nfe</t>
  </si>
  <si>
    <t>shot</t>
  </si>
  <si>
    <t>vix</t>
  </si>
  <si>
    <t>wm</t>
  </si>
  <si>
    <t>wmb</t>
  </si>
  <si>
    <t>wmt</t>
  </si>
  <si>
    <t>wolf</t>
  </si>
  <si>
    <t>wpm</t>
  </si>
  <si>
    <t>wrb</t>
  </si>
  <si>
    <t>wsm</t>
  </si>
  <si>
    <t>wst</t>
  </si>
  <si>
    <t>wtw</t>
  </si>
  <si>
    <t>wulf</t>
  </si>
  <si>
    <t>wy</t>
  </si>
  <si>
    <t>wynn</t>
  </si>
  <si>
    <t>xar</t>
  </si>
  <si>
    <t>xbi</t>
  </si>
  <si>
    <t>xel</t>
  </si>
  <si>
    <t>xhb</t>
  </si>
  <si>
    <t>xhe</t>
  </si>
  <si>
    <t>xlb</t>
  </si>
  <si>
    <t>xlc</t>
  </si>
  <si>
    <t>xle</t>
  </si>
  <si>
    <t>xlf</t>
  </si>
  <si>
    <t>xli</t>
  </si>
  <si>
    <t>xlk</t>
  </si>
  <si>
    <t>xlp</t>
  </si>
  <si>
    <t>xlre</t>
  </si>
  <si>
    <t>xlu</t>
  </si>
  <si>
    <t>xlv</t>
  </si>
  <si>
    <t>xly</t>
  </si>
  <si>
    <t>xme</t>
  </si>
  <si>
    <t>xom</t>
  </si>
  <si>
    <t>xop</t>
  </si>
  <si>
    <t>xp</t>
  </si>
  <si>
    <t>xpev</t>
  </si>
  <si>
    <t>xph</t>
  </si>
  <si>
    <t>xpo</t>
  </si>
  <si>
    <t>xrt</t>
  </si>
  <si>
    <t>xtn</t>
  </si>
  <si>
    <t>xyl</t>
  </si>
  <si>
    <t>xyz</t>
  </si>
  <si>
    <t>yang</t>
  </si>
  <si>
    <t>ycl</t>
  </si>
  <si>
    <t>ycs</t>
  </si>
  <si>
    <t>yinn</t>
  </si>
  <si>
    <t>ypf</t>
  </si>
  <si>
    <t>yum</t>
  </si>
  <si>
    <t>z</t>
  </si>
  <si>
    <t>zbh</t>
  </si>
  <si>
    <t>zbra</t>
  </si>
  <si>
    <t>zim</t>
  </si>
  <si>
    <t>zion</t>
  </si>
  <si>
    <t>zm</t>
  </si>
  <si>
    <t>zroz</t>
  </si>
  <si>
    <t>zs</t>
  </si>
  <si>
    <t>zts</t>
  </si>
  <si>
    <t>Q-Score Optimization</t>
  </si>
  <si>
    <r>
      <rPr>
        <rFont val="Arial"/>
        <b/>
        <color rgb="FF6AA84F"/>
      </rPr>
      <t>Bullish:</t>
    </r>
    <r>
      <rPr>
        <rFont val="Arial"/>
        <b/>
        <color theme="1"/>
      </rPr>
      <t xml:space="preserve"> Option 5 + Momentum 5</t>
    </r>
  </si>
  <si>
    <r>
      <rPr>
        <rFont val="Arial"/>
        <b/>
        <color rgb="FFFF0000"/>
      </rPr>
      <t>Bearish:</t>
    </r>
    <r>
      <rPr>
        <rFont val="Arial"/>
        <b/>
        <color theme="1"/>
      </rPr>
      <t xml:space="preserve"> Option &lt;1 + Momentum &lt;1</t>
    </r>
  </si>
  <si>
    <r>
      <rPr>
        <rFont val="Arial"/>
        <b/>
        <color rgb="FF6AA84F"/>
      </rPr>
      <t>Bullish:</t>
    </r>
    <r>
      <rPr>
        <rFont val="Arial"/>
        <b/>
        <color theme="1"/>
      </rPr>
      <t xml:space="preserve"> Momentum 5 + Seasonality &gt; 2</t>
    </r>
  </si>
  <si>
    <r>
      <rPr>
        <rFont val="Arial"/>
        <b/>
        <color rgb="FFFF0000"/>
      </rPr>
      <t>Bearish:</t>
    </r>
    <r>
      <rPr>
        <rFont val="Arial"/>
        <b/>
        <color theme="1"/>
      </rPr>
      <t xml:space="preserve"> Momentum &lt;1 + Seasonality &lt;-1</t>
    </r>
  </si>
  <si>
    <t>hsbc</t>
  </si>
  <si>
    <r>
      <rPr>
        <rFont val="Arial"/>
        <b/>
        <color rgb="FF6AA84F"/>
      </rPr>
      <t>Bullish:</t>
    </r>
    <r>
      <rPr>
        <rFont val="Arial"/>
        <b/>
        <color theme="1"/>
      </rPr>
      <t xml:space="preserve"> Option &gt; 4, Momentum = 5 + Seasonality &gt; 2</t>
    </r>
  </si>
  <si>
    <r>
      <rPr>
        <rFont val="Arial"/>
        <b/>
        <color rgb="FFFF0000"/>
      </rPr>
      <t>Bearish:</t>
    </r>
    <r>
      <rPr>
        <rFont val="Arial"/>
        <b/>
        <color theme="1"/>
      </rPr>
      <t xml:space="preserve"> Opion &lt;1, Momentum &lt;1 + Seasonality &lt;-1</t>
    </r>
  </si>
  <si>
    <t>op 4 - mom 5 seas &gt;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</si>
</sst>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mm/dd/yyyy"/>
  </numFmts>
  <fonts count="7">
    <font>
      <sz val="10.0"/>
      <color rgb="FF000000"/>
      <name val="Arial"/>
      <scheme val="minor"/>
    </font>
    <font>
      <b/>
      <color theme="1"/>
      <name val="Arial"/>
    </font>
    <font>
      <b/>
      <sz val="12.0"/>
      <color theme="1"/>
      <name val="Arial"/>
    </font>
    <font>
      <color theme="1"/>
      <name val="Arial"/>
    </font>
    <font>
      <sz val="12.0"/>
      <color theme="1"/>
      <name val="Aptos Narrow"/>
    </font>
    <font>
      <b/>
      <sz val="12.0"/>
      <color theme="1"/>
      <name val="Aptos Narrow"/>
    </font>
    <font>
      <b/>
      <sz val="9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B7E1CD"/>
        <bgColor rgb="FFB7E1CD"/>
      </patternFill>
    </fill>
    <fill>
      <patternFill patternType="solid">
        <fgColor rgb="FFF4CCCC"/>
        <bgColor rgb="FFF4CCCC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2" fontId="2" numFmtId="164" xfId="0" applyAlignment="1" applyBorder="1" applyFill="1" applyFont="1" applyNumberFormat="1">
      <alignment horizontal="center" vertical="bottom"/>
    </xf>
    <xf borderId="0" fillId="0" fontId="3" numFmtId="0" xfId="0" applyAlignment="1" applyFont="1">
      <alignment vertical="bottom"/>
    </xf>
    <xf borderId="0" fillId="0" fontId="3" numFmtId="165" xfId="0" applyAlignment="1" applyFont="1" applyNumberFormat="1">
      <alignment vertical="bottom"/>
    </xf>
    <xf borderId="0" fillId="0" fontId="3" numFmtId="2" xfId="0" applyAlignment="1" applyFont="1" applyNumberFormat="1">
      <alignment vertical="bottom"/>
    </xf>
    <xf borderId="0" fillId="0" fontId="3" numFmtId="165" xfId="0" applyAlignment="1" applyFont="1" applyNumberFormat="1">
      <alignment horizontal="right" vertical="bottom"/>
    </xf>
    <xf borderId="1" fillId="2" fontId="2" numFmtId="0" xfId="0" applyAlignment="1" applyBorder="1" applyFont="1">
      <alignment horizontal="center" vertical="bottom"/>
    </xf>
    <xf borderId="1" fillId="2" fontId="2" numFmtId="2" xfId="0" applyAlignment="1" applyBorder="1" applyFont="1" applyNumberFormat="1">
      <alignment horizontal="center" vertical="bottom"/>
    </xf>
    <xf borderId="1" fillId="2" fontId="2" numFmtId="2" xfId="0" applyAlignment="1" applyBorder="1" applyFont="1" applyNumberFormat="1">
      <alignment vertical="bottom"/>
    </xf>
    <xf borderId="1" fillId="2" fontId="2" numFmtId="2" xfId="0" applyAlignment="1" applyBorder="1" applyFont="1" applyNumberFormat="1">
      <alignment horizontal="center" readingOrder="0" vertical="bottom"/>
    </xf>
    <xf borderId="1" fillId="2" fontId="1" numFmtId="0" xfId="0" applyAlignment="1" applyBorder="1" applyFont="1">
      <alignment vertical="bottom"/>
    </xf>
    <xf borderId="1" fillId="2" fontId="1" numFmtId="0" xfId="0" applyAlignment="1" applyBorder="1" applyFont="1">
      <alignment horizontal="right" readingOrder="0" vertical="bottom"/>
    </xf>
    <xf borderId="1" fillId="0" fontId="4" numFmtId="0" xfId="0" applyAlignment="1" applyBorder="1" applyFont="1">
      <alignment vertical="bottom"/>
    </xf>
    <xf borderId="1" fillId="3" fontId="5" numFmtId="0" xfId="0" applyAlignment="1" applyBorder="1" applyFill="1" applyFont="1">
      <alignment vertical="bottom"/>
    </xf>
    <xf borderId="1" fillId="0" fontId="4" numFmtId="0" xfId="0" applyAlignment="1" applyBorder="1" applyFont="1">
      <alignment horizontal="right" vertical="bottom"/>
    </xf>
    <xf borderId="1" fillId="0" fontId="4" numFmtId="2" xfId="0" applyAlignment="1" applyBorder="1" applyFont="1" applyNumberFormat="1">
      <alignment horizontal="right" vertical="bottom"/>
    </xf>
    <xf borderId="1" fillId="2" fontId="3" numFmtId="0" xfId="0" applyAlignment="1" applyBorder="1" applyFont="1">
      <alignment horizontal="center" vertical="bottom"/>
    </xf>
    <xf borderId="1" fillId="2" fontId="4" numFmtId="2" xfId="0" applyAlignment="1" applyBorder="1" applyFont="1" applyNumberFormat="1">
      <alignment horizontal="center" vertical="bottom"/>
    </xf>
    <xf borderId="1" fillId="2" fontId="3" numFmtId="0" xfId="0" applyAlignment="1" applyBorder="1" applyFont="1">
      <alignment vertical="bottom"/>
    </xf>
    <xf borderId="1" fillId="2" fontId="3" numFmtId="2" xfId="0" applyAlignment="1" applyBorder="1" applyFont="1" applyNumberFormat="1">
      <alignment vertical="bottom"/>
    </xf>
    <xf borderId="1" fillId="2" fontId="6" numFmtId="2" xfId="0" applyAlignment="1" applyBorder="1" applyFont="1" applyNumberFormat="1">
      <alignment horizontal="right" vertical="bottom"/>
    </xf>
    <xf borderId="1" fillId="2" fontId="1" numFmtId="3" xfId="0" applyAlignment="1" applyBorder="1" applyFont="1" applyNumberFormat="1">
      <alignment horizontal="right" vertical="bottom"/>
    </xf>
    <xf borderId="1" fillId="2" fontId="1" numFmtId="1" xfId="0" applyAlignment="1" applyBorder="1" applyFont="1" applyNumberFormat="1">
      <alignment horizontal="right" vertical="bottom"/>
    </xf>
    <xf borderId="1" fillId="2" fontId="1" numFmtId="2" xfId="0" applyAlignment="1" applyBorder="1" applyFont="1" applyNumberFormat="1">
      <alignment horizontal="right" vertical="bottom"/>
    </xf>
    <xf borderId="1" fillId="2" fontId="5" numFmtId="2" xfId="0" applyAlignment="1" applyBorder="1" applyFont="1" applyNumberFormat="1">
      <alignment horizontal="right" vertical="bottom"/>
    </xf>
    <xf borderId="1" fillId="4" fontId="5" numFmtId="0" xfId="0" applyAlignment="1" applyBorder="1" applyFill="1" applyFont="1">
      <alignment vertical="bottom"/>
    </xf>
    <xf borderId="1" fillId="0" fontId="3" numFmtId="0" xfId="0" applyAlignment="1" applyBorder="1" applyFont="1">
      <alignment vertical="bottom"/>
    </xf>
    <xf borderId="1" fillId="0" fontId="3" numFmtId="2" xfId="0" applyAlignment="1" applyBorder="1" applyFont="1" applyNumberFormat="1">
      <alignment vertical="bottom"/>
    </xf>
    <xf borderId="0" fillId="2" fontId="3" numFmtId="0" xfId="0" applyAlignment="1" applyFont="1">
      <alignment vertical="bottom"/>
    </xf>
    <xf borderId="0" fillId="2" fontId="3" numFmtId="2" xfId="0" applyAlignment="1" applyFont="1" applyNumberFormat="1">
      <alignment vertical="bottom"/>
    </xf>
    <xf borderId="0" fillId="0" fontId="1" numFmtId="0" xfId="0" applyAlignment="1" applyFont="1">
      <alignment readingOrder="0" vertical="bottom"/>
    </xf>
    <xf borderId="0" fillId="2" fontId="2" numFmtId="164" xfId="0" applyAlignment="1" applyFont="1" applyNumberFormat="1">
      <alignment horizontal="center" vertical="bottom"/>
    </xf>
    <xf borderId="1" fillId="2" fontId="3" numFmtId="2" xfId="0" applyAlignment="1" applyBorder="1" applyFont="1" applyNumberFormat="1">
      <alignment horizontal="right" vertical="bottom"/>
    </xf>
    <xf borderId="0" fillId="0" fontId="3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2.63" defaultRowHeight="15.75"/>
  <cols>
    <col customWidth="1" min="10" max="10" width="22.13"/>
    <col customWidth="1" min="11" max="11" width="22.5"/>
    <col customWidth="1" min="16" max="16" width="18.0"/>
  </cols>
  <sheetData>
    <row r="1">
      <c r="A1" s="1" t="s">
        <v>0</v>
      </c>
      <c r="B1" s="2">
        <v>45863.0</v>
      </c>
      <c r="C1" s="3"/>
      <c r="D1" s="3"/>
      <c r="E1" s="3"/>
      <c r="F1" s="4"/>
      <c r="G1" s="4"/>
      <c r="H1" s="4"/>
      <c r="I1" s="5"/>
      <c r="J1" s="6">
        <f>DATE(2025,7,28)</f>
        <v>45866</v>
      </c>
      <c r="K1" s="6">
        <f>DATE(2025,8,1)</f>
        <v>45870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>
      <c r="A2" s="1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8" t="s">
        <v>10</v>
      </c>
      <c r="K2" s="8" t="s">
        <v>11</v>
      </c>
      <c r="L2" s="7" t="s">
        <v>12</v>
      </c>
      <c r="M2" s="8" t="s">
        <v>13</v>
      </c>
      <c r="N2" s="8" t="s">
        <v>14</v>
      </c>
      <c r="O2" s="10" t="s">
        <v>15</v>
      </c>
      <c r="P2" s="11" t="s">
        <v>16</v>
      </c>
      <c r="Q2" s="12">
        <v>904.0</v>
      </c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>
      <c r="A3" s="13" t="s">
        <v>17</v>
      </c>
      <c r="B3" s="14" t="s">
        <v>18</v>
      </c>
      <c r="C3" s="15">
        <v>2.14</v>
      </c>
      <c r="D3" s="13" t="s">
        <v>19</v>
      </c>
      <c r="E3" s="15">
        <v>1.54</v>
      </c>
      <c r="F3" s="15">
        <v>5.0</v>
      </c>
      <c r="G3" s="15">
        <v>2.0</v>
      </c>
      <c r="H3" s="15">
        <v>4.0</v>
      </c>
      <c r="I3" s="16">
        <v>0.220338668848336</v>
      </c>
      <c r="J3" s="17">
        <f>IFERROR(__xludf.DUMMYFUNCTION("INDEX(GOOGLEFINANCE(A3, ""open"", $J$1, $J$1), 2, 2)"),1.88)</f>
        <v>1.88</v>
      </c>
      <c r="K3" s="17">
        <f>IFERROR(__xludf.DUMMYFUNCTION("INDEX(GOOGLEFINANCE(A3, ""close"", $K$1, $K$1), 2, 2)"),1.4)</f>
        <v>1.4</v>
      </c>
      <c r="L3" s="8">
        <f t="shared" ref="L3:L906" si="1">IFERROR(if(B3="Bullish",((K3-J3)/J3*100),((J3-K3)/J3*100)),"")</f>
        <v>-25.53191489</v>
      </c>
      <c r="M3" s="18">
        <f t="shared" ref="M3:M906" si="2">iferror(1000*L3/100,"")</f>
        <v>-255.3191489</v>
      </c>
      <c r="N3" s="18" t="str">
        <f t="shared" ref="N3:N906" si="3">if(B3="Bullish","Put Spread","Call Spread")</f>
        <v>Put Spread</v>
      </c>
      <c r="O3" s="18" t="str">
        <f t="shared" ref="O3:O906" si="4">if(B3="Bullish",if(K3-E3&gt;0,"Success","No"),if(B3="Bearish",if(E3-K3&gt;0,"Success","No")))</f>
        <v>No</v>
      </c>
      <c r="P3" s="11" t="s">
        <v>20</v>
      </c>
      <c r="Q3" s="19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>
      <c r="A4" s="13" t="s">
        <v>21</v>
      </c>
      <c r="B4" s="14" t="s">
        <v>18</v>
      </c>
      <c r="C4" s="15">
        <v>9.15</v>
      </c>
      <c r="D4" s="13" t="s">
        <v>19</v>
      </c>
      <c r="E4" s="15">
        <v>6.43</v>
      </c>
      <c r="F4" s="15">
        <v>5.0</v>
      </c>
      <c r="G4" s="15">
        <v>3.0</v>
      </c>
      <c r="H4" s="15">
        <v>4.0</v>
      </c>
      <c r="I4" s="16">
        <v>0.0</v>
      </c>
      <c r="J4" s="17">
        <f>IFERROR(__xludf.DUMMYFUNCTION("INDEX(GOOGLEFINANCE(A4, ""open"", $J$1, $J$1), 2, 2)"),7.8)</f>
        <v>7.8</v>
      </c>
      <c r="K4" s="17">
        <f>IFERROR(__xludf.DUMMYFUNCTION("INDEX(GOOGLEFINANCE(A4, ""close"", $K$1, $K$1), 2, 2)"),5.87)</f>
        <v>5.87</v>
      </c>
      <c r="L4" s="20">
        <f t="shared" si="1"/>
        <v>-24.74358974</v>
      </c>
      <c r="M4" s="18">
        <f t="shared" si="2"/>
        <v>-247.4358974</v>
      </c>
      <c r="N4" s="18" t="str">
        <f t="shared" si="3"/>
        <v>Put Spread</v>
      </c>
      <c r="O4" s="18" t="str">
        <f t="shared" si="4"/>
        <v>No</v>
      </c>
      <c r="P4" s="11" t="s">
        <v>22</v>
      </c>
      <c r="Q4" s="21">
        <f>countif(M1:M2998,"&gt;0")/Q2*100</f>
        <v>33.73893805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>
      <c r="A5" s="13" t="s">
        <v>23</v>
      </c>
      <c r="B5" s="14" t="s">
        <v>18</v>
      </c>
      <c r="C5" s="15">
        <v>16.17</v>
      </c>
      <c r="D5" s="13" t="s">
        <v>19</v>
      </c>
      <c r="E5" s="15">
        <v>12.91</v>
      </c>
      <c r="F5" s="15">
        <v>5.0</v>
      </c>
      <c r="G5" s="15">
        <v>3.0</v>
      </c>
      <c r="H5" s="15">
        <v>5.0</v>
      </c>
      <c r="I5" s="16">
        <v>0.399869641688992</v>
      </c>
      <c r="J5" s="17">
        <f>IFERROR(__xludf.DUMMYFUNCTION("INDEX(GOOGLEFINANCE(A5, ""open"", $J$1, $J$1), 2, 2)"),14.55)</f>
        <v>14.55</v>
      </c>
      <c r="K5" s="17">
        <f>IFERROR(__xludf.DUMMYFUNCTION("INDEX(GOOGLEFINANCE(A5, ""close"", $K$1, $K$1), 2, 2)"),11.03)</f>
        <v>11.03</v>
      </c>
      <c r="L5" s="8">
        <f t="shared" si="1"/>
        <v>-24.19243986</v>
      </c>
      <c r="M5" s="18">
        <f t="shared" si="2"/>
        <v>-241.9243986</v>
      </c>
      <c r="N5" s="18" t="str">
        <f t="shared" si="3"/>
        <v>Put Spread</v>
      </c>
      <c r="O5" s="18" t="str">
        <f t="shared" si="4"/>
        <v>No</v>
      </c>
      <c r="P5" s="11" t="s">
        <v>24</v>
      </c>
      <c r="Q5" s="22">
        <f>Q2*1000</f>
        <v>904000</v>
      </c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>
      <c r="A6" s="13" t="s">
        <v>25</v>
      </c>
      <c r="B6" s="14" t="s">
        <v>18</v>
      </c>
      <c r="C6" s="15">
        <v>9.84</v>
      </c>
      <c r="D6" s="13" t="s">
        <v>19</v>
      </c>
      <c r="E6" s="15">
        <v>7.2</v>
      </c>
      <c r="F6" s="15">
        <v>5.0</v>
      </c>
      <c r="G6" s="15">
        <v>5.0</v>
      </c>
      <c r="H6" s="15">
        <v>5.0</v>
      </c>
      <c r="I6" s="16">
        <v>0.0</v>
      </c>
      <c r="J6" s="17">
        <f>IFERROR(__xludf.DUMMYFUNCTION("INDEX(GOOGLEFINANCE(A6, ""open"", $J$1, $J$1), 2, 2)"),8.53)</f>
        <v>8.53</v>
      </c>
      <c r="K6" s="17">
        <f>IFERROR(__xludf.DUMMYFUNCTION("INDEX(GOOGLEFINANCE(A6, ""close"", $K$1, $K$1), 2, 2)"),6.7)</f>
        <v>6.7</v>
      </c>
      <c r="L6" s="8">
        <f t="shared" si="1"/>
        <v>-21.45369285</v>
      </c>
      <c r="M6" s="18">
        <f t="shared" si="2"/>
        <v>-214.5369285</v>
      </c>
      <c r="N6" s="18" t="str">
        <f t="shared" si="3"/>
        <v>Put Spread</v>
      </c>
      <c r="O6" s="18" t="str">
        <f t="shared" si="4"/>
        <v>No</v>
      </c>
      <c r="P6" s="11" t="s">
        <v>13</v>
      </c>
      <c r="Q6" s="23">
        <f>sum(M:M)</f>
        <v>-12331.69577</v>
      </c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>
      <c r="A7" s="13" t="s">
        <v>26</v>
      </c>
      <c r="B7" s="14" t="s">
        <v>18</v>
      </c>
      <c r="C7" s="15">
        <v>3.37</v>
      </c>
      <c r="D7" s="13" t="s">
        <v>19</v>
      </c>
      <c r="E7" s="15">
        <v>1.71</v>
      </c>
      <c r="F7" s="15">
        <v>4.0</v>
      </c>
      <c r="G7" s="15">
        <v>3.0</v>
      </c>
      <c r="H7" s="15">
        <v>4.0</v>
      </c>
      <c r="I7" s="16">
        <v>0.0</v>
      </c>
      <c r="J7" s="17">
        <f>IFERROR(__xludf.DUMMYFUNCTION("INDEX(GOOGLEFINANCE(A7, ""open"", $J$1, $J$1), 2, 2)"),2.65)</f>
        <v>2.65</v>
      </c>
      <c r="K7" s="17">
        <f>IFERROR(__xludf.DUMMYFUNCTION("INDEX(GOOGLEFINANCE(A7, ""close"", $K$1, $K$1), 2, 2)"),2.09)</f>
        <v>2.09</v>
      </c>
      <c r="L7" s="8">
        <f t="shared" si="1"/>
        <v>-21.13207547</v>
      </c>
      <c r="M7" s="18">
        <f t="shared" si="2"/>
        <v>-211.3207547</v>
      </c>
      <c r="N7" s="18" t="str">
        <f t="shared" si="3"/>
        <v>Put Spread</v>
      </c>
      <c r="O7" s="18" t="str">
        <f t="shared" si="4"/>
        <v>Success</v>
      </c>
      <c r="P7" s="11" t="s">
        <v>27</v>
      </c>
      <c r="Q7" s="24">
        <f>Q6/Q5*100</f>
        <v>-1.364125639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>
      <c r="A8" s="13" t="s">
        <v>28</v>
      </c>
      <c r="B8" s="14" t="s">
        <v>18</v>
      </c>
      <c r="C8" s="15">
        <v>223.8</v>
      </c>
      <c r="D8" s="13" t="s">
        <v>19</v>
      </c>
      <c r="E8" s="15">
        <v>189.78</v>
      </c>
      <c r="F8" s="15">
        <v>4.0</v>
      </c>
      <c r="G8" s="15">
        <v>4.0</v>
      </c>
      <c r="H8" s="15">
        <v>4.0</v>
      </c>
      <c r="I8" s="16">
        <v>0.0</v>
      </c>
      <c r="J8" s="17">
        <f>IFERROR(__xludf.DUMMYFUNCTION("INDEX(GOOGLEFINANCE(A8, ""open"", $J$1, $J$1), 2, 2)"),206.65)</f>
        <v>206.65</v>
      </c>
      <c r="K8" s="17">
        <f>IFERROR(__xludf.DUMMYFUNCTION("INDEX(GOOGLEFINANCE(A8, ""close"", $K$1, $K$1), 2, 2)"),164.07)</f>
        <v>164.07</v>
      </c>
      <c r="L8" s="8">
        <f t="shared" si="1"/>
        <v>-20.60488749</v>
      </c>
      <c r="M8" s="18">
        <f t="shared" si="2"/>
        <v>-206.0488749</v>
      </c>
      <c r="N8" s="18" t="str">
        <f t="shared" si="3"/>
        <v>Put Spread</v>
      </c>
      <c r="O8" s="18" t="str">
        <f t="shared" si="4"/>
        <v>No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>
      <c r="A9" s="13" t="s">
        <v>29</v>
      </c>
      <c r="B9" s="14" t="s">
        <v>18</v>
      </c>
      <c r="C9" s="15">
        <v>423.59</v>
      </c>
      <c r="D9" s="13" t="s">
        <v>19</v>
      </c>
      <c r="E9" s="15">
        <v>359.73</v>
      </c>
      <c r="F9" s="15">
        <v>3.0</v>
      </c>
      <c r="G9" s="15">
        <v>2.0</v>
      </c>
      <c r="H9" s="15">
        <v>4.0</v>
      </c>
      <c r="I9" s="16">
        <v>-0.6221833</v>
      </c>
      <c r="J9" s="17">
        <f>IFERROR(__xludf.DUMMYFUNCTION("INDEX(GOOGLEFINANCE(A9, ""open"", $J$1, $J$1), 2, 2)"),394.62)</f>
        <v>394.62</v>
      </c>
      <c r="K9" s="17">
        <f>IFERROR(__xludf.DUMMYFUNCTION("INDEX(GOOGLEFINANCE(A9, ""close"", $K$1, $K$1), 2, 2)"),314.69)</f>
        <v>314.69</v>
      </c>
      <c r="L9" s="8">
        <f t="shared" si="1"/>
        <v>-20.25492879</v>
      </c>
      <c r="M9" s="18">
        <f t="shared" si="2"/>
        <v>-202.5492879</v>
      </c>
      <c r="N9" s="18" t="str">
        <f t="shared" si="3"/>
        <v>Put Spread</v>
      </c>
      <c r="O9" s="18" t="str">
        <f t="shared" si="4"/>
        <v>No</v>
      </c>
      <c r="P9" s="11" t="s">
        <v>30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>
      <c r="A10" s="13" t="s">
        <v>31</v>
      </c>
      <c r="B10" s="14" t="s">
        <v>18</v>
      </c>
      <c r="C10" s="15">
        <v>37.27</v>
      </c>
      <c r="D10" s="13" t="s">
        <v>19</v>
      </c>
      <c r="E10" s="15">
        <v>31.03</v>
      </c>
      <c r="F10" s="15">
        <v>3.0</v>
      </c>
      <c r="G10" s="15">
        <v>2.0</v>
      </c>
      <c r="H10" s="15">
        <v>4.0</v>
      </c>
      <c r="I10" s="16">
        <v>-0.9987636</v>
      </c>
      <c r="J10" s="17">
        <f>IFERROR(__xludf.DUMMYFUNCTION("INDEX(GOOGLEFINANCE(A10, ""open"", $J$1, $J$1), 2, 2)"),34.34)</f>
        <v>34.34</v>
      </c>
      <c r="K10" s="17">
        <f>IFERROR(__xludf.DUMMYFUNCTION("INDEX(GOOGLEFINANCE(A10, ""close"", $K$1, $K$1), 2, 2)"),27.61)</f>
        <v>27.61</v>
      </c>
      <c r="L10" s="8">
        <f t="shared" si="1"/>
        <v>-19.59813628</v>
      </c>
      <c r="M10" s="18">
        <f t="shared" si="2"/>
        <v>-195.9813628</v>
      </c>
      <c r="N10" s="18" t="str">
        <f t="shared" si="3"/>
        <v>Put Spread</v>
      </c>
      <c r="O10" s="18" t="str">
        <f t="shared" si="4"/>
        <v>No</v>
      </c>
      <c r="P10" s="11" t="s">
        <v>22</v>
      </c>
      <c r="Q10" s="25">
        <f>countif(O:O,"Success")/Q2*100</f>
        <v>75.66371681</v>
      </c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>
      <c r="A11" s="13" t="s">
        <v>32</v>
      </c>
      <c r="B11" s="14" t="s">
        <v>18</v>
      </c>
      <c r="C11" s="15">
        <v>146.91</v>
      </c>
      <c r="D11" s="13" t="s">
        <v>19</v>
      </c>
      <c r="E11" s="15">
        <v>127.87</v>
      </c>
      <c r="F11" s="15">
        <v>2.0</v>
      </c>
      <c r="G11" s="15">
        <v>3.0</v>
      </c>
      <c r="H11" s="15">
        <v>4.0</v>
      </c>
      <c r="I11" s="16">
        <v>0.0</v>
      </c>
      <c r="J11" s="17">
        <f>IFERROR(__xludf.DUMMYFUNCTION("INDEX(GOOGLEFINANCE(A11, ""open"", $J$1, $J$1), 2, 2)"),138.08)</f>
        <v>138.08</v>
      </c>
      <c r="K11" s="17">
        <f>IFERROR(__xludf.DUMMYFUNCTION("INDEX(GOOGLEFINANCE(A11, ""close"", $K$1, $K$1), 2, 2)"),111.85)</f>
        <v>111.85</v>
      </c>
      <c r="L11" s="8">
        <f t="shared" si="1"/>
        <v>-18.99623407</v>
      </c>
      <c r="M11" s="18">
        <f t="shared" si="2"/>
        <v>-189.9623407</v>
      </c>
      <c r="N11" s="18" t="str">
        <f t="shared" si="3"/>
        <v>Put Spread</v>
      </c>
      <c r="O11" s="18" t="str">
        <f t="shared" si="4"/>
        <v>No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>
      <c r="A12" s="13" t="s">
        <v>33</v>
      </c>
      <c r="B12" s="14" t="s">
        <v>18</v>
      </c>
      <c r="C12" s="15">
        <v>8.31</v>
      </c>
      <c r="D12" s="13" t="s">
        <v>19</v>
      </c>
      <c r="E12" s="15">
        <v>6.57</v>
      </c>
      <c r="F12" s="15">
        <v>5.0</v>
      </c>
      <c r="G12" s="15">
        <v>2.0</v>
      </c>
      <c r="H12" s="15">
        <v>3.0</v>
      </c>
      <c r="I12" s="16">
        <v>0.748636950352386</v>
      </c>
      <c r="J12" s="17">
        <f>IFERROR(__xludf.DUMMYFUNCTION("INDEX(GOOGLEFINANCE(A12, ""open"", $J$1, $J$1), 2, 2)"),7.34)</f>
        <v>7.34</v>
      </c>
      <c r="K12" s="17">
        <f>IFERROR(__xludf.DUMMYFUNCTION("INDEX(GOOGLEFINANCE(A12, ""close"", $K$1, $K$1), 2, 2)"),5.99)</f>
        <v>5.99</v>
      </c>
      <c r="L12" s="20">
        <f t="shared" si="1"/>
        <v>-18.39237057</v>
      </c>
      <c r="M12" s="18">
        <f t="shared" si="2"/>
        <v>-183.9237057</v>
      </c>
      <c r="N12" s="18" t="str">
        <f t="shared" si="3"/>
        <v>Put Spread</v>
      </c>
      <c r="O12" s="18" t="str">
        <f t="shared" si="4"/>
        <v>No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>
      <c r="A13" s="13" t="s">
        <v>34</v>
      </c>
      <c r="B13" s="14" t="s">
        <v>18</v>
      </c>
      <c r="C13" s="15">
        <v>108.17</v>
      </c>
      <c r="D13" s="13" t="s">
        <v>19</v>
      </c>
      <c r="E13" s="15">
        <v>98.95</v>
      </c>
      <c r="F13" s="15">
        <v>4.0</v>
      </c>
      <c r="G13" s="15">
        <v>3.0</v>
      </c>
      <c r="H13" s="15">
        <v>4.0</v>
      </c>
      <c r="I13" s="16">
        <v>0.0</v>
      </c>
      <c r="J13" s="17">
        <f>IFERROR(__xludf.DUMMYFUNCTION("INDEX(GOOGLEFINANCE(A13, ""open"", $J$1, $J$1), 2, 2)"),103.06)</f>
        <v>103.06</v>
      </c>
      <c r="K13" s="17">
        <f>IFERROR(__xludf.DUMMYFUNCTION("INDEX(GOOGLEFINANCE(A13, ""close"", $K$1, $K$1), 2, 2)"),84.5)</f>
        <v>84.5</v>
      </c>
      <c r="L13" s="20">
        <f t="shared" si="1"/>
        <v>-18.00892684</v>
      </c>
      <c r="M13" s="18">
        <f t="shared" si="2"/>
        <v>-180.0892684</v>
      </c>
      <c r="N13" s="18" t="str">
        <f t="shared" si="3"/>
        <v>Put Spread</v>
      </c>
      <c r="O13" s="18" t="str">
        <f t="shared" si="4"/>
        <v>No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>
      <c r="A14" s="13" t="s">
        <v>35</v>
      </c>
      <c r="B14" s="14" t="s">
        <v>18</v>
      </c>
      <c r="C14" s="15">
        <v>3.29</v>
      </c>
      <c r="D14" s="13" t="s">
        <v>19</v>
      </c>
      <c r="E14" s="15">
        <v>2.55</v>
      </c>
      <c r="F14" s="15">
        <v>5.0</v>
      </c>
      <c r="G14" s="15">
        <v>3.0</v>
      </c>
      <c r="H14" s="15">
        <v>4.0</v>
      </c>
      <c r="I14" s="16">
        <v>0.0</v>
      </c>
      <c r="J14" s="17">
        <f>IFERROR(__xludf.DUMMYFUNCTION("INDEX(GOOGLEFINANCE(A14, ""open"", $J$1, $J$1), 2, 2)"),2.94)</f>
        <v>2.94</v>
      </c>
      <c r="K14" s="17">
        <f>IFERROR(__xludf.DUMMYFUNCTION("INDEX(GOOGLEFINANCE(A14, ""close"", $K$1, $K$1), 2, 2)"),2.42)</f>
        <v>2.42</v>
      </c>
      <c r="L14" s="8">
        <f t="shared" si="1"/>
        <v>-17.68707483</v>
      </c>
      <c r="M14" s="18">
        <f t="shared" si="2"/>
        <v>-176.8707483</v>
      </c>
      <c r="N14" s="18" t="str">
        <f t="shared" si="3"/>
        <v>Put Spread</v>
      </c>
      <c r="O14" s="18" t="str">
        <f t="shared" si="4"/>
        <v>No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>
      <c r="A15" s="13" t="s">
        <v>36</v>
      </c>
      <c r="B15" s="14" t="s">
        <v>18</v>
      </c>
      <c r="C15" s="15">
        <v>0.84</v>
      </c>
      <c r="D15" s="13" t="s">
        <v>19</v>
      </c>
      <c r="E15" s="15">
        <v>0.53</v>
      </c>
      <c r="F15" s="15">
        <v>5.0</v>
      </c>
      <c r="G15" s="15">
        <v>4.0</v>
      </c>
      <c r="H15" s="15">
        <v>4.0</v>
      </c>
      <c r="I15" s="16">
        <v>0.96383029285654</v>
      </c>
      <c r="J15" s="17">
        <f>IFERROR(__xludf.DUMMYFUNCTION("INDEX(GOOGLEFINANCE(A15, ""open"", $J$1, $J$1), 2, 2)"),0.69)</f>
        <v>0.69</v>
      </c>
      <c r="K15" s="17">
        <f>IFERROR(__xludf.DUMMYFUNCTION("INDEX(GOOGLEFINANCE(A15, ""close"", $K$1, $K$1), 2, 2)"),0.57)</f>
        <v>0.57</v>
      </c>
      <c r="L15" s="8">
        <f t="shared" si="1"/>
        <v>-17.39130435</v>
      </c>
      <c r="M15" s="18">
        <f t="shared" si="2"/>
        <v>-173.9130435</v>
      </c>
      <c r="N15" s="18" t="str">
        <f t="shared" si="3"/>
        <v>Put Spread</v>
      </c>
      <c r="O15" s="18" t="str">
        <f t="shared" si="4"/>
        <v>Success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>
      <c r="A16" s="13" t="s">
        <v>37</v>
      </c>
      <c r="B16" s="14" t="s">
        <v>18</v>
      </c>
      <c r="C16" s="15">
        <v>175.85</v>
      </c>
      <c r="D16" s="13" t="s">
        <v>19</v>
      </c>
      <c r="E16" s="15">
        <v>150.49</v>
      </c>
      <c r="F16" s="15">
        <v>4.0</v>
      </c>
      <c r="G16" s="15">
        <v>3.0</v>
      </c>
      <c r="H16" s="15">
        <v>5.0</v>
      </c>
      <c r="I16" s="16">
        <v>-4.2635803</v>
      </c>
      <c r="J16" s="17">
        <f>IFERROR(__xludf.DUMMYFUNCTION("INDEX(GOOGLEFINANCE(A16, ""open"", $J$1, $J$1), 2, 2)"),165.02)</f>
        <v>165.02</v>
      </c>
      <c r="K16" s="17">
        <f>IFERROR(__xludf.DUMMYFUNCTION("INDEX(GOOGLEFINANCE(A16, ""close"", $K$1, $K$1), 2, 2)"),137.58)</f>
        <v>137.58</v>
      </c>
      <c r="L16" s="20">
        <f t="shared" si="1"/>
        <v>-16.62828748</v>
      </c>
      <c r="M16" s="18">
        <f t="shared" si="2"/>
        <v>-166.2828748</v>
      </c>
      <c r="N16" s="18" t="str">
        <f t="shared" si="3"/>
        <v>Put Spread</v>
      </c>
      <c r="O16" s="18" t="str">
        <f t="shared" si="4"/>
        <v>No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>
      <c r="A17" s="13" t="s">
        <v>38</v>
      </c>
      <c r="B17" s="14" t="s">
        <v>18</v>
      </c>
      <c r="C17" s="15">
        <v>10.4</v>
      </c>
      <c r="D17" s="13" t="s">
        <v>19</v>
      </c>
      <c r="E17" s="15">
        <v>6.0</v>
      </c>
      <c r="F17" s="15">
        <v>5.0</v>
      </c>
      <c r="G17" s="15">
        <v>4.0</v>
      </c>
      <c r="H17" s="15">
        <v>3.0</v>
      </c>
      <c r="I17" s="16">
        <v>0.0</v>
      </c>
      <c r="J17" s="17">
        <f>IFERROR(__xludf.DUMMYFUNCTION("INDEX(GOOGLEFINANCE(A17, ""open"", $J$1, $J$1), 2, 2)"),8.28)</f>
        <v>8.28</v>
      </c>
      <c r="K17" s="17">
        <f>IFERROR(__xludf.DUMMYFUNCTION("INDEX(GOOGLEFINANCE(A17, ""close"", $K$1, $K$1), 2, 2)"),6.94)</f>
        <v>6.94</v>
      </c>
      <c r="L17" s="8">
        <f t="shared" si="1"/>
        <v>-16.18357488</v>
      </c>
      <c r="M17" s="18">
        <f t="shared" si="2"/>
        <v>-161.8357488</v>
      </c>
      <c r="N17" s="18" t="str">
        <f t="shared" si="3"/>
        <v>Put Spread</v>
      </c>
      <c r="O17" s="18" t="str">
        <f t="shared" si="4"/>
        <v>Success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>
      <c r="A18" s="13" t="s">
        <v>39</v>
      </c>
      <c r="B18" s="14" t="s">
        <v>18</v>
      </c>
      <c r="C18" s="15">
        <v>299.94</v>
      </c>
      <c r="D18" s="13" t="s">
        <v>19</v>
      </c>
      <c r="E18" s="15">
        <v>262.18</v>
      </c>
      <c r="F18" s="15">
        <v>3.0</v>
      </c>
      <c r="G18" s="15">
        <v>4.0</v>
      </c>
      <c r="H18" s="15">
        <v>0.0</v>
      </c>
      <c r="I18" s="16">
        <v>-0.5348923</v>
      </c>
      <c r="J18" s="17">
        <f>IFERROR(__xludf.DUMMYFUNCTION("INDEX(GOOGLEFINANCE(A18, ""open"", $J$1, $J$1), 2, 2)"),283.5)</f>
        <v>283.5</v>
      </c>
      <c r="K18" s="17">
        <f>IFERROR(__xludf.DUMMYFUNCTION("INDEX(GOOGLEFINANCE(A18, ""close"", $K$1, $K$1), 2, 2)"),237.77)</f>
        <v>237.77</v>
      </c>
      <c r="L18" s="20">
        <f t="shared" si="1"/>
        <v>-16.13051146</v>
      </c>
      <c r="M18" s="18">
        <f t="shared" si="2"/>
        <v>-161.3051146</v>
      </c>
      <c r="N18" s="18" t="str">
        <f t="shared" si="3"/>
        <v>Put Spread</v>
      </c>
      <c r="O18" s="18" t="str">
        <f t="shared" si="4"/>
        <v>No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>
      <c r="A19" s="13" t="s">
        <v>40</v>
      </c>
      <c r="B19" s="14" t="s">
        <v>18</v>
      </c>
      <c r="C19" s="15">
        <v>536.87</v>
      </c>
      <c r="D19" s="13" t="s">
        <v>19</v>
      </c>
      <c r="E19" s="15">
        <v>498.43</v>
      </c>
      <c r="F19" s="15">
        <v>5.0</v>
      </c>
      <c r="G19" s="15">
        <v>3.0</v>
      </c>
      <c r="H19" s="15">
        <v>5.0</v>
      </c>
      <c r="I19" s="16">
        <v>0.0</v>
      </c>
      <c r="J19" s="17">
        <f>IFERROR(__xludf.DUMMYFUNCTION("INDEX(GOOGLEFINANCE(A19, ""open"", $J$1, $J$1), 2, 2)"),515.0)</f>
        <v>515</v>
      </c>
      <c r="K19" s="17">
        <f>IFERROR(__xludf.DUMMYFUNCTION("INDEX(GOOGLEFINANCE(A19, ""close"", $K$1, $K$1), 2, 2)"),436.24)</f>
        <v>436.24</v>
      </c>
      <c r="L19" s="8">
        <f t="shared" si="1"/>
        <v>-15.29320388</v>
      </c>
      <c r="M19" s="18">
        <f t="shared" si="2"/>
        <v>-152.9320388</v>
      </c>
      <c r="N19" s="18" t="str">
        <f t="shared" si="3"/>
        <v>Put Spread</v>
      </c>
      <c r="O19" s="18" t="str">
        <f t="shared" si="4"/>
        <v>No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>
      <c r="A20" s="13" t="s">
        <v>41</v>
      </c>
      <c r="B20" s="14" t="s">
        <v>18</v>
      </c>
      <c r="C20" s="15">
        <v>22.06</v>
      </c>
      <c r="D20" s="13" t="s">
        <v>19</v>
      </c>
      <c r="E20" s="15">
        <v>18.56</v>
      </c>
      <c r="F20" s="15">
        <v>3.0</v>
      </c>
      <c r="G20" s="15">
        <v>1.0</v>
      </c>
      <c r="H20" s="15">
        <v>3.0</v>
      </c>
      <c r="I20" s="16">
        <v>0.0</v>
      </c>
      <c r="J20" s="17">
        <f>IFERROR(__xludf.DUMMYFUNCTION("INDEX(GOOGLEFINANCE(A20, ""open"", $J$1, $J$1), 2, 2)"),20.46)</f>
        <v>20.46</v>
      </c>
      <c r="K20" s="17">
        <f>IFERROR(__xludf.DUMMYFUNCTION("INDEX(GOOGLEFINANCE(A20, ""close"", $K$1, $K$1), 2, 2)"),17.43)</f>
        <v>17.43</v>
      </c>
      <c r="L20" s="8">
        <f t="shared" si="1"/>
        <v>-14.80938416</v>
      </c>
      <c r="M20" s="18">
        <f t="shared" si="2"/>
        <v>-148.0938416</v>
      </c>
      <c r="N20" s="18" t="str">
        <f t="shared" si="3"/>
        <v>Put Spread</v>
      </c>
      <c r="O20" s="18" t="str">
        <f t="shared" si="4"/>
        <v>No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>
      <c r="A21" s="13" t="s">
        <v>42</v>
      </c>
      <c r="B21" s="14" t="s">
        <v>18</v>
      </c>
      <c r="C21" s="15">
        <v>4.82</v>
      </c>
      <c r="D21" s="13" t="s">
        <v>19</v>
      </c>
      <c r="E21" s="15">
        <v>3.84</v>
      </c>
      <c r="F21" s="15">
        <v>2.0</v>
      </c>
      <c r="G21" s="15">
        <v>3.0</v>
      </c>
      <c r="H21" s="15">
        <v>1.0</v>
      </c>
      <c r="I21" s="16">
        <v>4.20837452</v>
      </c>
      <c r="J21" s="17">
        <f>IFERROR(__xludf.DUMMYFUNCTION("INDEX(GOOGLEFINANCE(A21, ""open"", $J$1, $J$1), 2, 2)"),4.35)</f>
        <v>4.35</v>
      </c>
      <c r="K21" s="17">
        <f>IFERROR(__xludf.DUMMYFUNCTION("INDEX(GOOGLEFINANCE(A21, ""close"", $K$1, $K$1), 2, 2)"),3.71)</f>
        <v>3.71</v>
      </c>
      <c r="L21" s="8">
        <f t="shared" si="1"/>
        <v>-14.71264368</v>
      </c>
      <c r="M21" s="18">
        <f t="shared" si="2"/>
        <v>-147.1264368</v>
      </c>
      <c r="N21" s="18" t="str">
        <f t="shared" si="3"/>
        <v>Put Spread</v>
      </c>
      <c r="O21" s="18" t="str">
        <f t="shared" si="4"/>
        <v>No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>
      <c r="A22" s="13" t="s">
        <v>43</v>
      </c>
      <c r="B22" s="14" t="s">
        <v>18</v>
      </c>
      <c r="C22" s="15">
        <v>81.74</v>
      </c>
      <c r="D22" s="13" t="s">
        <v>19</v>
      </c>
      <c r="E22" s="15">
        <v>74.22</v>
      </c>
      <c r="F22" s="15">
        <v>3.0</v>
      </c>
      <c r="G22" s="15">
        <v>3.0</v>
      </c>
      <c r="H22" s="15">
        <v>4.0</v>
      </c>
      <c r="I22" s="16">
        <v>0.0</v>
      </c>
      <c r="J22" s="17">
        <f>IFERROR(__xludf.DUMMYFUNCTION("INDEX(GOOGLEFINANCE(A22, ""open"", $J$1, $J$1), 2, 2)"),78.51)</f>
        <v>78.51</v>
      </c>
      <c r="K22" s="17">
        <f>IFERROR(__xludf.DUMMYFUNCTION("INDEX(GOOGLEFINANCE(A22, ""close"", $K$1, $K$1), 2, 2)"),67.11)</f>
        <v>67.11</v>
      </c>
      <c r="L22" s="8">
        <f t="shared" si="1"/>
        <v>-14.52044326</v>
      </c>
      <c r="M22" s="18">
        <f t="shared" si="2"/>
        <v>-145.2044326</v>
      </c>
      <c r="N22" s="18" t="str">
        <f t="shared" si="3"/>
        <v>Put Spread</v>
      </c>
      <c r="O22" s="18" t="str">
        <f t="shared" si="4"/>
        <v>No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>
      <c r="A23" s="13" t="s">
        <v>44</v>
      </c>
      <c r="B23" s="14" t="s">
        <v>18</v>
      </c>
      <c r="C23" s="15">
        <v>31.87</v>
      </c>
      <c r="D23" s="13" t="s">
        <v>19</v>
      </c>
      <c r="E23" s="15">
        <v>27.29</v>
      </c>
      <c r="F23" s="15">
        <v>4.0</v>
      </c>
      <c r="G23" s="15">
        <v>2.0</v>
      </c>
      <c r="H23" s="15">
        <v>5.0</v>
      </c>
      <c r="I23" s="16">
        <v>1.58897672611813</v>
      </c>
      <c r="J23" s="17">
        <f>IFERROR(__xludf.DUMMYFUNCTION("INDEX(GOOGLEFINANCE(A23, ""open"", $J$1, $J$1), 2, 2)"),29.5)</f>
        <v>29.5</v>
      </c>
      <c r="K23" s="17">
        <f>IFERROR(__xludf.DUMMYFUNCTION("INDEX(GOOGLEFINANCE(A23, ""close"", $K$1, $K$1), 2, 2)"),25.24)</f>
        <v>25.24</v>
      </c>
      <c r="L23" s="20">
        <f t="shared" si="1"/>
        <v>-14.44067797</v>
      </c>
      <c r="M23" s="18">
        <f t="shared" si="2"/>
        <v>-144.4067797</v>
      </c>
      <c r="N23" s="18" t="str">
        <f t="shared" si="3"/>
        <v>Put Spread</v>
      </c>
      <c r="O23" s="18" t="str">
        <f t="shared" si="4"/>
        <v>No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>
      <c r="A24" s="13" t="s">
        <v>45</v>
      </c>
      <c r="B24" s="14" t="s">
        <v>18</v>
      </c>
      <c r="C24" s="15">
        <v>28.55</v>
      </c>
      <c r="D24" s="13" t="s">
        <v>19</v>
      </c>
      <c r="E24" s="15">
        <v>23.47</v>
      </c>
      <c r="F24" s="15">
        <v>2.0</v>
      </c>
      <c r="G24" s="15">
        <v>3.0</v>
      </c>
      <c r="H24" s="15">
        <v>1.0</v>
      </c>
      <c r="I24" s="16">
        <v>0.0</v>
      </c>
      <c r="J24" s="17">
        <f>IFERROR(__xludf.DUMMYFUNCTION("INDEX(GOOGLEFINANCE(A24, ""open"", $J$1, $J$1), 2, 2)"),26.16)</f>
        <v>26.16</v>
      </c>
      <c r="K24" s="17">
        <f>IFERROR(__xludf.DUMMYFUNCTION("INDEX(GOOGLEFINANCE(A24, ""close"", $K$1, $K$1), 2, 2)"),22.43)</f>
        <v>22.43</v>
      </c>
      <c r="L24" s="8">
        <f t="shared" si="1"/>
        <v>-14.25840979</v>
      </c>
      <c r="M24" s="18">
        <f t="shared" si="2"/>
        <v>-142.5840979</v>
      </c>
      <c r="N24" s="18" t="str">
        <f t="shared" si="3"/>
        <v>Put Spread</v>
      </c>
      <c r="O24" s="18" t="str">
        <f t="shared" si="4"/>
        <v>No</v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>
      <c r="A25" s="13" t="s">
        <v>46</v>
      </c>
      <c r="B25" s="26" t="s">
        <v>47</v>
      </c>
      <c r="C25" s="15">
        <v>77.83</v>
      </c>
      <c r="D25" s="13" t="s">
        <v>48</v>
      </c>
      <c r="E25" s="15">
        <v>85.03</v>
      </c>
      <c r="F25" s="15">
        <v>1.0</v>
      </c>
      <c r="G25" s="15">
        <v>3.0</v>
      </c>
      <c r="H25" s="15">
        <v>5.0</v>
      </c>
      <c r="I25" s="16">
        <v>-0.6760823</v>
      </c>
      <c r="J25" s="17">
        <f>IFERROR(__xludf.DUMMYFUNCTION("INDEX(GOOGLEFINANCE(A25, ""open"", $J$1, $J$1), 2, 2)"),81.19)</f>
        <v>81.19</v>
      </c>
      <c r="K25" s="17">
        <f>IFERROR(__xludf.DUMMYFUNCTION("INDEX(GOOGLEFINANCE(A25, ""close"", $K$1, $K$1), 2, 2)"),91.74)</f>
        <v>91.74</v>
      </c>
      <c r="L25" s="8">
        <f t="shared" si="1"/>
        <v>-12.99421111</v>
      </c>
      <c r="M25" s="18">
        <f t="shared" si="2"/>
        <v>-129.9421111</v>
      </c>
      <c r="N25" s="18" t="str">
        <f t="shared" si="3"/>
        <v>Call Spread</v>
      </c>
      <c r="O25" s="18" t="str">
        <f t="shared" si="4"/>
        <v>No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>
      <c r="A26" s="13" t="s">
        <v>49</v>
      </c>
      <c r="B26" s="14" t="s">
        <v>18</v>
      </c>
      <c r="C26" s="15">
        <v>97.21</v>
      </c>
      <c r="D26" s="13" t="s">
        <v>19</v>
      </c>
      <c r="E26" s="15">
        <v>83.03</v>
      </c>
      <c r="F26" s="15">
        <v>3.0</v>
      </c>
      <c r="G26" s="15">
        <v>3.0</v>
      </c>
      <c r="H26" s="15">
        <v>4.0</v>
      </c>
      <c r="I26" s="16">
        <v>0.0</v>
      </c>
      <c r="J26" s="17">
        <f>IFERROR(__xludf.DUMMYFUNCTION("INDEX(GOOGLEFINANCE(A26, ""open"", $J$1, $J$1), 2, 2)"),91.18)</f>
        <v>91.18</v>
      </c>
      <c r="K26" s="17">
        <f>IFERROR(__xludf.DUMMYFUNCTION("INDEX(GOOGLEFINANCE(A26, ""close"", $K$1, $K$1), 2, 2)"),79.98)</f>
        <v>79.98</v>
      </c>
      <c r="L26" s="8">
        <f t="shared" si="1"/>
        <v>-12.28339548</v>
      </c>
      <c r="M26" s="18">
        <f t="shared" si="2"/>
        <v>-122.8339548</v>
      </c>
      <c r="N26" s="18" t="str">
        <f t="shared" si="3"/>
        <v>Put Spread</v>
      </c>
      <c r="O26" s="18" t="str">
        <f t="shared" si="4"/>
        <v>No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>
      <c r="A27" s="13" t="s">
        <v>50</v>
      </c>
      <c r="B27" s="14" t="s">
        <v>18</v>
      </c>
      <c r="C27" s="15">
        <v>19.1</v>
      </c>
      <c r="D27" s="13" t="s">
        <v>19</v>
      </c>
      <c r="E27" s="15">
        <v>15.4</v>
      </c>
      <c r="F27" s="15">
        <v>3.0</v>
      </c>
      <c r="G27" s="15">
        <v>2.0</v>
      </c>
      <c r="H27" s="15">
        <v>1.0</v>
      </c>
      <c r="I27" s="16">
        <v>0.239870043708284</v>
      </c>
      <c r="J27" s="17">
        <f>IFERROR(__xludf.DUMMYFUNCTION("INDEX(GOOGLEFINANCE(A27, ""open"", $J$1, $J$1), 2, 2)"),17.64)</f>
        <v>17.64</v>
      </c>
      <c r="K27" s="17">
        <f>IFERROR(__xludf.DUMMYFUNCTION("INDEX(GOOGLEFINANCE(A27, ""close"", $K$1, $K$1), 2, 2)"),15.5)</f>
        <v>15.5</v>
      </c>
      <c r="L27" s="8">
        <f t="shared" si="1"/>
        <v>-12.13151927</v>
      </c>
      <c r="M27" s="18">
        <f t="shared" si="2"/>
        <v>-121.3151927</v>
      </c>
      <c r="N27" s="18" t="str">
        <f t="shared" si="3"/>
        <v>Put Spread</v>
      </c>
      <c r="O27" s="18" t="str">
        <f t="shared" si="4"/>
        <v>Success</v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>
      <c r="A28" s="13" t="s">
        <v>51</v>
      </c>
      <c r="B28" s="14" t="s">
        <v>18</v>
      </c>
      <c r="C28" s="15">
        <v>36.96</v>
      </c>
      <c r="D28" s="13" t="s">
        <v>19</v>
      </c>
      <c r="E28" s="15">
        <v>28.94</v>
      </c>
      <c r="F28" s="15">
        <v>3.0</v>
      </c>
      <c r="G28" s="15">
        <v>3.0</v>
      </c>
      <c r="H28" s="15">
        <v>2.0</v>
      </c>
      <c r="I28" s="16">
        <v>0.0</v>
      </c>
      <c r="J28" s="17">
        <f>IFERROR(__xludf.DUMMYFUNCTION("INDEX(GOOGLEFINANCE(A28, ""open"", $J$1, $J$1), 2, 2)"),33.05)</f>
        <v>33.05</v>
      </c>
      <c r="K28" s="17">
        <f>IFERROR(__xludf.DUMMYFUNCTION("INDEX(GOOGLEFINANCE(A28, ""close"", $K$1, $K$1), 2, 2)"),29.06)</f>
        <v>29.06</v>
      </c>
      <c r="L28" s="8">
        <f t="shared" si="1"/>
        <v>-12.07261725</v>
      </c>
      <c r="M28" s="18">
        <f t="shared" si="2"/>
        <v>-120.7261725</v>
      </c>
      <c r="N28" s="18" t="str">
        <f t="shared" si="3"/>
        <v>Put Spread</v>
      </c>
      <c r="O28" s="18" t="str">
        <f t="shared" si="4"/>
        <v>Success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>
      <c r="A29" s="13" t="s">
        <v>52</v>
      </c>
      <c r="B29" s="14" t="s">
        <v>18</v>
      </c>
      <c r="C29" s="15">
        <v>435.96</v>
      </c>
      <c r="D29" s="13" t="s">
        <v>19</v>
      </c>
      <c r="E29" s="15">
        <v>375.82</v>
      </c>
      <c r="F29" s="15">
        <v>2.0</v>
      </c>
      <c r="G29" s="15">
        <v>1.0</v>
      </c>
      <c r="H29" s="15">
        <v>2.0</v>
      </c>
      <c r="I29" s="16">
        <v>-0.7087566</v>
      </c>
      <c r="J29" s="17">
        <f>IFERROR(__xludf.DUMMYFUNCTION("INDEX(GOOGLEFINANCE(A29, ""open"", $J$1, $J$1), 2, 2)"),416.95)</f>
        <v>416.95</v>
      </c>
      <c r="K29" s="17">
        <f>IFERROR(__xludf.DUMMYFUNCTION("INDEX(GOOGLEFINANCE(A29, ""close"", $K$1, $K$1), 2, 2)"),366.63)</f>
        <v>366.63</v>
      </c>
      <c r="L29" s="8">
        <f t="shared" si="1"/>
        <v>-12.06859336</v>
      </c>
      <c r="M29" s="18">
        <f t="shared" si="2"/>
        <v>-120.6859336</v>
      </c>
      <c r="N29" s="18" t="str">
        <f t="shared" si="3"/>
        <v>Put Spread</v>
      </c>
      <c r="O29" s="18" t="str">
        <f t="shared" si="4"/>
        <v>No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>
      <c r="A30" s="13" t="s">
        <v>53</v>
      </c>
      <c r="B30" s="14" t="s">
        <v>18</v>
      </c>
      <c r="C30" s="15">
        <v>4.63</v>
      </c>
      <c r="D30" s="13" t="s">
        <v>19</v>
      </c>
      <c r="E30" s="15">
        <v>3.53</v>
      </c>
      <c r="F30" s="15">
        <v>3.0</v>
      </c>
      <c r="G30" s="15">
        <v>2.0</v>
      </c>
      <c r="H30" s="15">
        <v>1.0</v>
      </c>
      <c r="I30" s="16">
        <v>0.0</v>
      </c>
      <c r="J30" s="17">
        <f>IFERROR(__xludf.DUMMYFUNCTION("INDEX(GOOGLEFINANCE(A30, ""open"", $J$1, $J$1), 2, 2)"),4.1)</f>
        <v>4.1</v>
      </c>
      <c r="K30" s="17">
        <f>IFERROR(__xludf.DUMMYFUNCTION("INDEX(GOOGLEFINANCE(A30, ""close"", $K$1, $K$1), 2, 2)"),3.61)</f>
        <v>3.61</v>
      </c>
      <c r="L30" s="8">
        <f t="shared" si="1"/>
        <v>-11.95121951</v>
      </c>
      <c r="M30" s="18">
        <f t="shared" si="2"/>
        <v>-119.5121951</v>
      </c>
      <c r="N30" s="18" t="str">
        <f t="shared" si="3"/>
        <v>Put Spread</v>
      </c>
      <c r="O30" s="18" t="str">
        <f t="shared" si="4"/>
        <v>Success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>
      <c r="A31" s="13" t="s">
        <v>54</v>
      </c>
      <c r="B31" s="14" t="s">
        <v>18</v>
      </c>
      <c r="C31" s="15">
        <v>15.26</v>
      </c>
      <c r="D31" s="13" t="s">
        <v>19</v>
      </c>
      <c r="E31" s="15">
        <v>12.76</v>
      </c>
      <c r="F31" s="15">
        <v>5.0</v>
      </c>
      <c r="G31" s="15">
        <v>3.0</v>
      </c>
      <c r="H31" s="15">
        <v>5.0</v>
      </c>
      <c r="I31" s="16">
        <v>0.0</v>
      </c>
      <c r="J31" s="17">
        <f>IFERROR(__xludf.DUMMYFUNCTION("INDEX(GOOGLEFINANCE(A31, ""open"", $J$1, $J$1), 2, 2)"),14.05)</f>
        <v>14.05</v>
      </c>
      <c r="K31" s="17">
        <f>IFERROR(__xludf.DUMMYFUNCTION("INDEX(GOOGLEFINANCE(A31, ""close"", $K$1, $K$1), 2, 2)"),12.38)</f>
        <v>12.38</v>
      </c>
      <c r="L31" s="8">
        <f t="shared" si="1"/>
        <v>-11.886121</v>
      </c>
      <c r="M31" s="18">
        <f t="shared" si="2"/>
        <v>-118.86121</v>
      </c>
      <c r="N31" s="18" t="str">
        <f t="shared" si="3"/>
        <v>Put Spread</v>
      </c>
      <c r="O31" s="18" t="str">
        <f t="shared" si="4"/>
        <v>No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>
      <c r="A32" s="13" t="s">
        <v>55</v>
      </c>
      <c r="B32" s="14" t="s">
        <v>18</v>
      </c>
      <c r="C32" s="15">
        <v>3.61</v>
      </c>
      <c r="D32" s="13" t="s">
        <v>19</v>
      </c>
      <c r="E32" s="15">
        <v>2.89</v>
      </c>
      <c r="F32" s="15">
        <v>3.0</v>
      </c>
      <c r="G32" s="15">
        <v>2.0</v>
      </c>
      <c r="H32" s="15">
        <v>4.0</v>
      </c>
      <c r="I32" s="16">
        <v>0.0</v>
      </c>
      <c r="J32" s="17">
        <f>IFERROR(__xludf.DUMMYFUNCTION("INDEX(GOOGLEFINANCE(A32, ""open"", $J$1, $J$1), 2, 2)"),3.35)</f>
        <v>3.35</v>
      </c>
      <c r="K32" s="17">
        <f>IFERROR(__xludf.DUMMYFUNCTION("INDEX(GOOGLEFINANCE(A32, ""close"", $K$1, $K$1), 2, 2)"),2.85)</f>
        <v>2.85</v>
      </c>
      <c r="L32" s="8">
        <f t="shared" si="1"/>
        <v>-14.92537313</v>
      </c>
      <c r="M32" s="18">
        <f t="shared" si="2"/>
        <v>-149.2537313</v>
      </c>
      <c r="N32" s="18" t="str">
        <f t="shared" si="3"/>
        <v>Put Spread</v>
      </c>
      <c r="O32" s="18" t="str">
        <f t="shared" si="4"/>
        <v>No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>
      <c r="A33" s="13" t="s">
        <v>56</v>
      </c>
      <c r="B33" s="14" t="s">
        <v>18</v>
      </c>
      <c r="C33" s="15">
        <v>4.85</v>
      </c>
      <c r="D33" s="13" t="s">
        <v>19</v>
      </c>
      <c r="E33" s="15">
        <v>3.43</v>
      </c>
      <c r="F33" s="15">
        <v>5.0</v>
      </c>
      <c r="G33" s="15">
        <v>4.0</v>
      </c>
      <c r="H33" s="15">
        <v>4.0</v>
      </c>
      <c r="I33" s="16">
        <v>0.0</v>
      </c>
      <c r="J33" s="17">
        <f>IFERROR(__xludf.DUMMYFUNCTION("INDEX(GOOGLEFINANCE(A33, ""open"", $J$1, $J$1), 2, 2)"),4.16)</f>
        <v>4.16</v>
      </c>
      <c r="K33" s="17">
        <f>IFERROR(__xludf.DUMMYFUNCTION("INDEX(GOOGLEFINANCE(A33, ""close"", $K$1, $K$1), 2, 2)"),3.68)</f>
        <v>3.68</v>
      </c>
      <c r="L33" s="8">
        <f t="shared" si="1"/>
        <v>-11.53846154</v>
      </c>
      <c r="M33" s="18">
        <f t="shared" si="2"/>
        <v>-115.3846154</v>
      </c>
      <c r="N33" s="18" t="str">
        <f t="shared" si="3"/>
        <v>Put Spread</v>
      </c>
      <c r="O33" s="18" t="str">
        <f t="shared" si="4"/>
        <v>Success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>
      <c r="A34" s="13" t="s">
        <v>57</v>
      </c>
      <c r="B34" s="14" t="s">
        <v>18</v>
      </c>
      <c r="C34" s="15">
        <v>4.5</v>
      </c>
      <c r="D34" s="13" t="s">
        <v>19</v>
      </c>
      <c r="E34" s="15">
        <v>3.68</v>
      </c>
      <c r="F34" s="15">
        <v>5.0</v>
      </c>
      <c r="G34" s="15">
        <v>3.0</v>
      </c>
      <c r="H34" s="15">
        <v>2.0</v>
      </c>
      <c r="I34" s="16">
        <v>0.0</v>
      </c>
      <c r="J34" s="17">
        <f>IFERROR(__xludf.DUMMYFUNCTION("INDEX(GOOGLEFINANCE(A34, ""open"", $J$1, $J$1), 2, 2)"),4.11)</f>
        <v>4.11</v>
      </c>
      <c r="K34" s="17">
        <f>IFERROR(__xludf.DUMMYFUNCTION("INDEX(GOOGLEFINANCE(A34, ""close"", $K$1, $K$1), 2, 2)"),3.65)</f>
        <v>3.65</v>
      </c>
      <c r="L34" s="8">
        <f t="shared" si="1"/>
        <v>-11.19221411</v>
      </c>
      <c r="M34" s="18">
        <f t="shared" si="2"/>
        <v>-111.9221411</v>
      </c>
      <c r="N34" s="18" t="str">
        <f t="shared" si="3"/>
        <v>Put Spread</v>
      </c>
      <c r="O34" s="18" t="str">
        <f t="shared" si="4"/>
        <v>No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>
      <c r="A35" s="13" t="s">
        <v>58</v>
      </c>
      <c r="B35" s="14" t="s">
        <v>18</v>
      </c>
      <c r="C35" s="15">
        <v>66.31</v>
      </c>
      <c r="D35" s="13" t="s">
        <v>19</v>
      </c>
      <c r="E35" s="15">
        <v>53.27</v>
      </c>
      <c r="F35" s="15">
        <v>4.0</v>
      </c>
      <c r="G35" s="15">
        <v>1.0</v>
      </c>
      <c r="H35" s="15">
        <v>5.0</v>
      </c>
      <c r="I35" s="16">
        <v>0.0</v>
      </c>
      <c r="J35" s="17">
        <f>IFERROR(__xludf.DUMMYFUNCTION("INDEX(GOOGLEFINANCE(A35, ""open"", $J$1, $J$1), 2, 2)"),61.59)</f>
        <v>61.59</v>
      </c>
      <c r="K35" s="17">
        <f>IFERROR(__xludf.DUMMYFUNCTION("INDEX(GOOGLEFINANCE(A35, ""close"", $K$1, $K$1), 2, 2)"),54.72)</f>
        <v>54.72</v>
      </c>
      <c r="L35" s="8">
        <f t="shared" si="1"/>
        <v>-11.15440818</v>
      </c>
      <c r="M35" s="18">
        <f t="shared" si="2"/>
        <v>-111.5440818</v>
      </c>
      <c r="N35" s="18" t="str">
        <f t="shared" si="3"/>
        <v>Put Spread</v>
      </c>
      <c r="O35" s="18" t="str">
        <f t="shared" si="4"/>
        <v>Success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>
      <c r="A36" s="13" t="s">
        <v>59</v>
      </c>
      <c r="B36" s="14" t="s">
        <v>18</v>
      </c>
      <c r="C36" s="15">
        <v>8.08</v>
      </c>
      <c r="D36" s="13" t="s">
        <v>19</v>
      </c>
      <c r="E36" s="15">
        <v>6.24</v>
      </c>
      <c r="F36" s="15">
        <v>3.0</v>
      </c>
      <c r="G36" s="15">
        <v>3.0</v>
      </c>
      <c r="H36" s="15">
        <v>4.0</v>
      </c>
      <c r="I36" s="16">
        <v>0.0</v>
      </c>
      <c r="J36" s="17">
        <f>IFERROR(__xludf.DUMMYFUNCTION("INDEX(GOOGLEFINANCE(A36, ""open"", $J$1, $J$1), 2, 2)"),7.15)</f>
        <v>7.15</v>
      </c>
      <c r="K36" s="17">
        <f>IFERROR(__xludf.DUMMYFUNCTION("INDEX(GOOGLEFINANCE(A36, ""close"", $K$1, $K$1), 2, 2)"),6.36)</f>
        <v>6.36</v>
      </c>
      <c r="L36" s="8">
        <f t="shared" si="1"/>
        <v>-11.04895105</v>
      </c>
      <c r="M36" s="18">
        <f t="shared" si="2"/>
        <v>-110.4895105</v>
      </c>
      <c r="N36" s="18" t="str">
        <f t="shared" si="3"/>
        <v>Put Spread</v>
      </c>
      <c r="O36" s="18" t="str">
        <f t="shared" si="4"/>
        <v>Success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>
      <c r="A37" s="13" t="s">
        <v>60</v>
      </c>
      <c r="B37" s="14" t="s">
        <v>18</v>
      </c>
      <c r="C37" s="15">
        <v>17.44</v>
      </c>
      <c r="D37" s="13" t="s">
        <v>19</v>
      </c>
      <c r="E37" s="15">
        <v>13.44</v>
      </c>
      <c r="F37" s="15">
        <v>4.0</v>
      </c>
      <c r="G37" s="15">
        <v>2.0</v>
      </c>
      <c r="H37" s="15">
        <v>5.0</v>
      </c>
      <c r="I37" s="16">
        <v>0.0</v>
      </c>
      <c r="J37" s="17">
        <f>IFERROR(__xludf.DUMMYFUNCTION("INDEX(GOOGLEFINANCE(A37, ""open"", $J$1, $J$1), 2, 2)"),15.86)</f>
        <v>15.86</v>
      </c>
      <c r="K37" s="17">
        <f>IFERROR(__xludf.DUMMYFUNCTION("INDEX(GOOGLEFINANCE(A37, ""close"", $K$1, $K$1), 2, 2)"),14.12)</f>
        <v>14.12</v>
      </c>
      <c r="L37" s="8">
        <f t="shared" si="1"/>
        <v>-10.97099622</v>
      </c>
      <c r="M37" s="18">
        <f t="shared" si="2"/>
        <v>-109.7099622</v>
      </c>
      <c r="N37" s="18" t="str">
        <f t="shared" si="3"/>
        <v>Put Spread</v>
      </c>
      <c r="O37" s="18" t="str">
        <f t="shared" si="4"/>
        <v>Success</v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>
      <c r="A38" s="13" t="s">
        <v>61</v>
      </c>
      <c r="B38" s="14" t="s">
        <v>18</v>
      </c>
      <c r="C38" s="15">
        <v>2.8</v>
      </c>
      <c r="D38" s="13" t="s">
        <v>19</v>
      </c>
      <c r="E38" s="15">
        <v>1.9</v>
      </c>
      <c r="F38" s="15">
        <v>5.0</v>
      </c>
      <c r="G38" s="15">
        <v>2.0</v>
      </c>
      <c r="H38" s="15">
        <v>4.0</v>
      </c>
      <c r="I38" s="16">
        <v>-1.1780791</v>
      </c>
      <c r="J38" s="17">
        <f>IFERROR(__xludf.DUMMYFUNCTION("INDEX(GOOGLEFINANCE(A38, ""open"", $J$1, $J$1), 2, 2)"),2.4)</f>
        <v>2.4</v>
      </c>
      <c r="K38" s="17">
        <f>IFERROR(__xludf.DUMMYFUNCTION("INDEX(GOOGLEFINANCE(A38, ""close"", $K$1, $K$1), 2, 2)"),2.14)</f>
        <v>2.14</v>
      </c>
      <c r="L38" s="8">
        <f t="shared" si="1"/>
        <v>-10.83333333</v>
      </c>
      <c r="M38" s="18">
        <f t="shared" si="2"/>
        <v>-108.3333333</v>
      </c>
      <c r="N38" s="18" t="str">
        <f t="shared" si="3"/>
        <v>Put Spread</v>
      </c>
      <c r="O38" s="18" t="str">
        <f t="shared" si="4"/>
        <v>Success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>
      <c r="A39" s="13" t="s">
        <v>62</v>
      </c>
      <c r="B39" s="14" t="s">
        <v>18</v>
      </c>
      <c r="C39" s="15">
        <v>69.6</v>
      </c>
      <c r="D39" s="13" t="s">
        <v>19</v>
      </c>
      <c r="E39" s="15">
        <v>55.72</v>
      </c>
      <c r="F39" s="15">
        <v>3.0</v>
      </c>
      <c r="G39" s="15">
        <v>1.0</v>
      </c>
      <c r="H39" s="15">
        <v>5.0</v>
      </c>
      <c r="I39" s="16">
        <v>0.0</v>
      </c>
      <c r="J39" s="17">
        <f>IFERROR(__xludf.DUMMYFUNCTION("INDEX(GOOGLEFINANCE(A39, ""open"", $J$1, $J$1), 2, 2)"),64.47)</f>
        <v>64.47</v>
      </c>
      <c r="K39" s="17">
        <f>IFERROR(__xludf.DUMMYFUNCTION("INDEX(GOOGLEFINANCE(A39, ""close"", $K$1, $K$1), 2, 2)"),57.54)</f>
        <v>57.54</v>
      </c>
      <c r="L39" s="20">
        <f t="shared" si="1"/>
        <v>-10.74918567</v>
      </c>
      <c r="M39" s="18">
        <f t="shared" si="2"/>
        <v>-107.4918567</v>
      </c>
      <c r="N39" s="18" t="str">
        <f t="shared" si="3"/>
        <v>Put Spread</v>
      </c>
      <c r="O39" s="18" t="str">
        <f t="shared" si="4"/>
        <v>Success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>
      <c r="A40" s="13" t="s">
        <v>63</v>
      </c>
      <c r="B40" s="14" t="s">
        <v>18</v>
      </c>
      <c r="C40" s="15">
        <v>371.15</v>
      </c>
      <c r="D40" s="13" t="s">
        <v>19</v>
      </c>
      <c r="E40" s="15">
        <v>334.45</v>
      </c>
      <c r="F40" s="15">
        <v>3.0</v>
      </c>
      <c r="G40" s="15">
        <v>2.0</v>
      </c>
      <c r="H40" s="15">
        <v>4.0</v>
      </c>
      <c r="I40" s="16">
        <v>-0.9871265</v>
      </c>
      <c r="J40" s="17">
        <f>IFERROR(__xludf.DUMMYFUNCTION("INDEX(GOOGLEFINANCE(A40, ""open"", $J$1, $J$1), 2, 2)"),351.63)</f>
        <v>351.63</v>
      </c>
      <c r="K40" s="17">
        <f>IFERROR(__xludf.DUMMYFUNCTION("INDEX(GOOGLEFINANCE(A40, ""close"", $K$1, $K$1), 2, 2)"),314.25)</f>
        <v>314.25</v>
      </c>
      <c r="L40" s="8">
        <f t="shared" si="1"/>
        <v>-10.63049228</v>
      </c>
      <c r="M40" s="18">
        <f t="shared" si="2"/>
        <v>-106.3049228</v>
      </c>
      <c r="N40" s="18" t="str">
        <f t="shared" si="3"/>
        <v>Put Spread</v>
      </c>
      <c r="O40" s="18" t="str">
        <f t="shared" si="4"/>
        <v>No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>
      <c r="A41" s="13" t="s">
        <v>64</v>
      </c>
      <c r="B41" s="14" t="s">
        <v>18</v>
      </c>
      <c r="C41" s="15">
        <v>5.77</v>
      </c>
      <c r="D41" s="13" t="s">
        <v>19</v>
      </c>
      <c r="E41" s="15">
        <v>4.95</v>
      </c>
      <c r="F41" s="15">
        <v>5.0</v>
      </c>
      <c r="G41" s="15">
        <v>3.0</v>
      </c>
      <c r="H41" s="15">
        <v>5.0</v>
      </c>
      <c r="I41" s="16">
        <v>0.0</v>
      </c>
      <c r="J41" s="17">
        <f>IFERROR(__xludf.DUMMYFUNCTION("INDEX(GOOGLEFINANCE(A41, ""open"", $J$1, $J$1), 2, 2)"),5.36)</f>
        <v>5.36</v>
      </c>
      <c r="K41" s="17">
        <f>IFERROR(__xludf.DUMMYFUNCTION("INDEX(GOOGLEFINANCE(A41, ""close"", $K$1, $K$1), 2, 2)"),4.8)</f>
        <v>4.8</v>
      </c>
      <c r="L41" s="20">
        <f t="shared" si="1"/>
        <v>-10.44776119</v>
      </c>
      <c r="M41" s="18">
        <f t="shared" si="2"/>
        <v>-104.4776119</v>
      </c>
      <c r="N41" s="18" t="str">
        <f t="shared" si="3"/>
        <v>Put Spread</v>
      </c>
      <c r="O41" s="18" t="str">
        <f t="shared" si="4"/>
        <v>No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>
      <c r="A42" s="13" t="s">
        <v>65</v>
      </c>
      <c r="B42" s="14" t="s">
        <v>18</v>
      </c>
      <c r="C42" s="15">
        <v>47.03</v>
      </c>
      <c r="D42" s="13" t="s">
        <v>19</v>
      </c>
      <c r="E42" s="15">
        <v>42.75</v>
      </c>
      <c r="F42" s="15">
        <v>5.0</v>
      </c>
      <c r="G42" s="15">
        <v>1.0</v>
      </c>
      <c r="H42" s="15">
        <v>4.0</v>
      </c>
      <c r="I42" s="16">
        <v>0.0</v>
      </c>
      <c r="J42" s="17">
        <f>IFERROR(__xludf.DUMMYFUNCTION("INDEX(GOOGLEFINANCE(A42, ""open"", $J$1, $J$1), 2, 2)"),44.68)</f>
        <v>44.68</v>
      </c>
      <c r="K42" s="17">
        <f>IFERROR(__xludf.DUMMYFUNCTION("INDEX(GOOGLEFINANCE(A42, ""close"", $K$1, $K$1), 2, 2)"),40.03)</f>
        <v>40.03</v>
      </c>
      <c r="L42" s="20">
        <f t="shared" si="1"/>
        <v>-10.40734109</v>
      </c>
      <c r="M42" s="18">
        <f t="shared" si="2"/>
        <v>-104.0734109</v>
      </c>
      <c r="N42" s="18" t="str">
        <f t="shared" si="3"/>
        <v>Put Spread</v>
      </c>
      <c r="O42" s="18" t="str">
        <f t="shared" si="4"/>
        <v>No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>
      <c r="A43" s="13" t="s">
        <v>66</v>
      </c>
      <c r="B43" s="14" t="s">
        <v>18</v>
      </c>
      <c r="C43" s="15">
        <v>14.15</v>
      </c>
      <c r="D43" s="13" t="s">
        <v>19</v>
      </c>
      <c r="E43" s="15">
        <v>12.07</v>
      </c>
      <c r="F43" s="15">
        <v>5.0</v>
      </c>
      <c r="G43" s="15">
        <v>3.0</v>
      </c>
      <c r="H43" s="15">
        <v>1.0</v>
      </c>
      <c r="I43" s="16">
        <v>-1.4781844</v>
      </c>
      <c r="J43" s="17">
        <f>IFERROR(__xludf.DUMMYFUNCTION("INDEX(GOOGLEFINANCE(A43, ""open"", $J$1, $J$1), 2, 2)"),13.11)</f>
        <v>13.11</v>
      </c>
      <c r="K43" s="17">
        <f>IFERROR(__xludf.DUMMYFUNCTION("INDEX(GOOGLEFINANCE(A43, ""close"", $K$1, $K$1), 2, 2)"),11.75)</f>
        <v>11.75</v>
      </c>
      <c r="L43" s="8">
        <f t="shared" si="1"/>
        <v>-10.37376049</v>
      </c>
      <c r="M43" s="18">
        <f t="shared" si="2"/>
        <v>-103.7376049</v>
      </c>
      <c r="N43" s="18" t="str">
        <f t="shared" si="3"/>
        <v>Put Spread</v>
      </c>
      <c r="O43" s="18" t="str">
        <f t="shared" si="4"/>
        <v>No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>
      <c r="A44" s="13" t="s">
        <v>67</v>
      </c>
      <c r="B44" s="14" t="s">
        <v>18</v>
      </c>
      <c r="C44" s="15">
        <v>24.79</v>
      </c>
      <c r="D44" s="13" t="s">
        <v>19</v>
      </c>
      <c r="E44" s="15">
        <v>22.37</v>
      </c>
      <c r="F44" s="15">
        <v>5.0</v>
      </c>
      <c r="G44" s="15">
        <v>2.0</v>
      </c>
      <c r="H44" s="15">
        <v>3.0</v>
      </c>
      <c r="I44" s="16">
        <v>0.0</v>
      </c>
      <c r="J44" s="17">
        <f>IFERROR(__xludf.DUMMYFUNCTION("INDEX(GOOGLEFINANCE(A44, ""open"", $J$1, $J$1), 2, 2)"),23.62)</f>
        <v>23.62</v>
      </c>
      <c r="K44" s="17">
        <f>IFERROR(__xludf.DUMMYFUNCTION("INDEX(GOOGLEFINANCE(A44, ""close"", $K$1, $K$1), 2, 2)"),21.18)</f>
        <v>21.18</v>
      </c>
      <c r="L44" s="8">
        <f t="shared" si="1"/>
        <v>-10.33022862</v>
      </c>
      <c r="M44" s="18">
        <f t="shared" si="2"/>
        <v>-103.3022862</v>
      </c>
      <c r="N44" s="18" t="str">
        <f t="shared" si="3"/>
        <v>Put Spread</v>
      </c>
      <c r="O44" s="18" t="str">
        <f t="shared" si="4"/>
        <v>No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>
      <c r="A45" s="13" t="s">
        <v>68</v>
      </c>
      <c r="B45" s="14" t="s">
        <v>18</v>
      </c>
      <c r="C45" s="15">
        <v>220.3</v>
      </c>
      <c r="D45" s="13" t="s">
        <v>19</v>
      </c>
      <c r="E45" s="15">
        <v>185.7</v>
      </c>
      <c r="F45" s="15">
        <v>3.0</v>
      </c>
      <c r="G45" s="15">
        <v>4.0</v>
      </c>
      <c r="H45" s="15">
        <v>3.0</v>
      </c>
      <c r="I45" s="16">
        <v>3.29422644752038</v>
      </c>
      <c r="J45" s="17">
        <f>IFERROR(__xludf.DUMMYFUNCTION("INDEX(GOOGLEFINANCE(A45, ""open"", $J$1, $J$1), 2, 2)"),204.01)</f>
        <v>204.01</v>
      </c>
      <c r="K45" s="17">
        <f>IFERROR(__xludf.DUMMYFUNCTION("INDEX(GOOGLEFINANCE(A45, ""close"", $K$1, $K$1), 2, 2)"),182.96)</f>
        <v>182.96</v>
      </c>
      <c r="L45" s="8">
        <f t="shared" si="1"/>
        <v>-10.31812166</v>
      </c>
      <c r="M45" s="18">
        <f t="shared" si="2"/>
        <v>-103.1812166</v>
      </c>
      <c r="N45" s="18" t="str">
        <f t="shared" si="3"/>
        <v>Put Spread</v>
      </c>
      <c r="O45" s="18" t="str">
        <f t="shared" si="4"/>
        <v>No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>
      <c r="A46" s="13" t="s">
        <v>69</v>
      </c>
      <c r="B46" s="14" t="s">
        <v>18</v>
      </c>
      <c r="C46" s="15">
        <v>158.3</v>
      </c>
      <c r="D46" s="13" t="s">
        <v>19</v>
      </c>
      <c r="E46" s="15">
        <v>141.38</v>
      </c>
      <c r="F46" s="15">
        <v>3.0</v>
      </c>
      <c r="G46" s="15">
        <v>3.0</v>
      </c>
      <c r="H46" s="15">
        <v>4.0</v>
      </c>
      <c r="I46" s="16">
        <v>0.0</v>
      </c>
      <c r="J46" s="17">
        <f>IFERROR(__xludf.DUMMYFUNCTION("INDEX(GOOGLEFINANCE(A46, ""open"", $J$1, $J$1), 2, 2)"),150.9)</f>
        <v>150.9</v>
      </c>
      <c r="K46" s="17">
        <f>IFERROR(__xludf.DUMMYFUNCTION("INDEX(GOOGLEFINANCE(A46, ""close"", $K$1, $K$1), 2, 2)"),135.6)</f>
        <v>135.6</v>
      </c>
      <c r="L46" s="8">
        <f t="shared" si="1"/>
        <v>-10.13916501</v>
      </c>
      <c r="M46" s="18">
        <f t="shared" si="2"/>
        <v>-101.3916501</v>
      </c>
      <c r="N46" s="18" t="str">
        <f t="shared" si="3"/>
        <v>Put Spread</v>
      </c>
      <c r="O46" s="18" t="str">
        <f t="shared" si="4"/>
        <v>No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>
      <c r="A47" s="13" t="s">
        <v>70</v>
      </c>
      <c r="B47" s="14" t="s">
        <v>18</v>
      </c>
      <c r="C47" s="15">
        <v>24.0</v>
      </c>
      <c r="D47" s="13" t="s">
        <v>19</v>
      </c>
      <c r="E47" s="15">
        <v>20.9</v>
      </c>
      <c r="F47" s="15">
        <v>2.0</v>
      </c>
      <c r="G47" s="15">
        <v>3.0</v>
      </c>
      <c r="H47" s="15">
        <v>5.0</v>
      </c>
      <c r="I47" s="16">
        <v>0.0</v>
      </c>
      <c r="J47" s="17">
        <f>IFERROR(__xludf.DUMMYFUNCTION("INDEX(GOOGLEFINANCE(A47, ""open"", $J$1, $J$1), 2, 2)"),22.78)</f>
        <v>22.78</v>
      </c>
      <c r="K47" s="17">
        <f>IFERROR(__xludf.DUMMYFUNCTION("INDEX(GOOGLEFINANCE(A47, ""close"", $K$1, $K$1), 2, 2)"),20.5)</f>
        <v>20.5</v>
      </c>
      <c r="L47" s="8">
        <f t="shared" si="1"/>
        <v>-10.00877963</v>
      </c>
      <c r="M47" s="18">
        <f t="shared" si="2"/>
        <v>-100.0877963</v>
      </c>
      <c r="N47" s="18" t="str">
        <f t="shared" si="3"/>
        <v>Put Spread</v>
      </c>
      <c r="O47" s="18" t="str">
        <f t="shared" si="4"/>
        <v>No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>
      <c r="A48" s="13" t="s">
        <v>71</v>
      </c>
      <c r="B48" s="14" t="s">
        <v>18</v>
      </c>
      <c r="C48" s="15">
        <v>252.19</v>
      </c>
      <c r="D48" s="13" t="s">
        <v>19</v>
      </c>
      <c r="E48" s="15">
        <v>234.21</v>
      </c>
      <c r="F48" s="15">
        <v>4.0</v>
      </c>
      <c r="G48" s="15">
        <v>0.0</v>
      </c>
      <c r="H48" s="15">
        <v>4.0</v>
      </c>
      <c r="I48" s="16">
        <v>0.0</v>
      </c>
      <c r="J48" s="17">
        <f>IFERROR(__xludf.DUMMYFUNCTION("INDEX(GOOGLEFINANCE(A48, ""open"", $J$1, $J$1), 2, 2)"),240.37)</f>
        <v>240.37</v>
      </c>
      <c r="K48" s="17">
        <f>IFERROR(__xludf.DUMMYFUNCTION("INDEX(GOOGLEFINANCE(A48, ""close"", $K$1, $K$1), 2, 2)"),217.1)</f>
        <v>217.1</v>
      </c>
      <c r="L48" s="20">
        <f t="shared" si="1"/>
        <v>-9.680908599</v>
      </c>
      <c r="M48" s="18">
        <f t="shared" si="2"/>
        <v>-96.80908599</v>
      </c>
      <c r="N48" s="18" t="str">
        <f t="shared" si="3"/>
        <v>Put Spread</v>
      </c>
      <c r="O48" s="18" t="str">
        <f t="shared" si="4"/>
        <v>No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>
      <c r="A49" s="13" t="s">
        <v>72</v>
      </c>
      <c r="B49" s="14" t="s">
        <v>18</v>
      </c>
      <c r="C49" s="15">
        <v>148.81</v>
      </c>
      <c r="D49" s="13" t="s">
        <v>19</v>
      </c>
      <c r="E49" s="15">
        <v>133.81</v>
      </c>
      <c r="F49" s="15">
        <v>5.0</v>
      </c>
      <c r="G49" s="15">
        <v>3.0</v>
      </c>
      <c r="H49" s="15">
        <v>5.0</v>
      </c>
      <c r="I49" s="16">
        <v>0.0</v>
      </c>
      <c r="J49" s="17">
        <f>IFERROR(__xludf.DUMMYFUNCTION("INDEX(GOOGLEFINANCE(A49, ""open"", $J$1, $J$1), 2, 2)"),141.3)</f>
        <v>141.3</v>
      </c>
      <c r="K49" s="17">
        <f>IFERROR(__xludf.DUMMYFUNCTION("INDEX(GOOGLEFINANCE(A49, ""close"", $K$1, $K$1), 2, 2)"),128.02)</f>
        <v>128.02</v>
      </c>
      <c r="L49" s="8">
        <f t="shared" si="1"/>
        <v>-9.398443029</v>
      </c>
      <c r="M49" s="18">
        <f t="shared" si="2"/>
        <v>-93.98443029</v>
      </c>
      <c r="N49" s="18" t="str">
        <f t="shared" si="3"/>
        <v>Put Spread</v>
      </c>
      <c r="O49" s="18" t="str">
        <f t="shared" si="4"/>
        <v>No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>
      <c r="A50" s="13" t="s">
        <v>73</v>
      </c>
      <c r="B50" s="14" t="s">
        <v>18</v>
      </c>
      <c r="C50" s="15">
        <v>12.27</v>
      </c>
      <c r="D50" s="13" t="s">
        <v>19</v>
      </c>
      <c r="E50" s="15">
        <v>9.29</v>
      </c>
      <c r="F50" s="15">
        <v>3.0</v>
      </c>
      <c r="G50" s="15">
        <v>1.0</v>
      </c>
      <c r="H50" s="15">
        <v>4.0</v>
      </c>
      <c r="I50" s="16">
        <v>0.0</v>
      </c>
      <c r="J50" s="17">
        <f>IFERROR(__xludf.DUMMYFUNCTION("INDEX(GOOGLEFINANCE(A50, ""open"", $J$1, $J$1), 2, 2)"),10.86)</f>
        <v>10.86</v>
      </c>
      <c r="K50" s="17">
        <f>IFERROR(__xludf.DUMMYFUNCTION("INDEX(GOOGLEFINANCE(A50, ""close"", $K$1, $K$1), 2, 2)"),9.85)</f>
        <v>9.85</v>
      </c>
      <c r="L50" s="8">
        <f t="shared" si="1"/>
        <v>-9.300184162</v>
      </c>
      <c r="M50" s="18">
        <f t="shared" si="2"/>
        <v>-93.00184162</v>
      </c>
      <c r="N50" s="18" t="str">
        <f t="shared" si="3"/>
        <v>Put Spread</v>
      </c>
      <c r="O50" s="18" t="str">
        <f t="shared" si="4"/>
        <v>Success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>
      <c r="A51" s="13" t="s">
        <v>74</v>
      </c>
      <c r="B51" s="14" t="s">
        <v>18</v>
      </c>
      <c r="C51" s="15">
        <v>5.42</v>
      </c>
      <c r="D51" s="13" t="s">
        <v>19</v>
      </c>
      <c r="E51" s="15">
        <v>4.28</v>
      </c>
      <c r="F51" s="15">
        <v>4.0</v>
      </c>
      <c r="G51" s="15">
        <v>1.0</v>
      </c>
      <c r="H51" s="15">
        <v>5.0</v>
      </c>
      <c r="I51" s="16">
        <v>0.0</v>
      </c>
      <c r="J51" s="17">
        <f>IFERROR(__xludf.DUMMYFUNCTION("INDEX(GOOGLEFINANCE(A51, ""open"", $J$1, $J$1), 2, 2)"),4.9)</f>
        <v>4.9</v>
      </c>
      <c r="K51" s="17">
        <f>IFERROR(__xludf.DUMMYFUNCTION("INDEX(GOOGLEFINANCE(A51, ""close"", $K$1, $K$1), 2, 2)"),4.45)</f>
        <v>4.45</v>
      </c>
      <c r="L51" s="8">
        <f t="shared" si="1"/>
        <v>-9.183673469</v>
      </c>
      <c r="M51" s="18">
        <f t="shared" si="2"/>
        <v>-91.83673469</v>
      </c>
      <c r="N51" s="18" t="str">
        <f t="shared" si="3"/>
        <v>Put Spread</v>
      </c>
      <c r="O51" s="18" t="str">
        <f t="shared" si="4"/>
        <v>Success</v>
      </c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>
      <c r="A52" s="13" t="s">
        <v>75</v>
      </c>
      <c r="B52" s="14" t="s">
        <v>18</v>
      </c>
      <c r="C52" s="15">
        <v>1.29</v>
      </c>
      <c r="D52" s="13" t="s">
        <v>19</v>
      </c>
      <c r="E52" s="15">
        <v>0.89</v>
      </c>
      <c r="F52" s="15">
        <v>3.0</v>
      </c>
      <c r="G52" s="15">
        <v>2.0</v>
      </c>
      <c r="H52" s="15">
        <v>5.0</v>
      </c>
      <c r="I52" s="16">
        <v>0.288986091858842</v>
      </c>
      <c r="J52" s="17">
        <f>IFERROR(__xludf.DUMMYFUNCTION("INDEX(GOOGLEFINANCE(A52, ""open"", $J$1, $J$1), 2, 2)"),1.09)</f>
        <v>1.09</v>
      </c>
      <c r="K52" s="17">
        <f>IFERROR(__xludf.DUMMYFUNCTION("INDEX(GOOGLEFINANCE(A52, ""close"", $K$1, $K$1), 2, 2)"),0.99)</f>
        <v>0.99</v>
      </c>
      <c r="L52" s="8">
        <f t="shared" si="1"/>
        <v>-9.174311927</v>
      </c>
      <c r="M52" s="18">
        <f t="shared" si="2"/>
        <v>-91.74311927</v>
      </c>
      <c r="N52" s="18" t="str">
        <f t="shared" si="3"/>
        <v>Put Spread</v>
      </c>
      <c r="O52" s="18" t="str">
        <f t="shared" si="4"/>
        <v>Success</v>
      </c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>
      <c r="A53" s="13" t="s">
        <v>76</v>
      </c>
      <c r="B53" s="14" t="s">
        <v>18</v>
      </c>
      <c r="C53" s="15">
        <v>30.45</v>
      </c>
      <c r="D53" s="13" t="s">
        <v>19</v>
      </c>
      <c r="E53" s="15">
        <v>24.71</v>
      </c>
      <c r="F53" s="15">
        <v>4.0</v>
      </c>
      <c r="G53" s="15">
        <v>4.0</v>
      </c>
      <c r="H53" s="15">
        <v>5.0</v>
      </c>
      <c r="I53" s="16">
        <v>0.0</v>
      </c>
      <c r="J53" s="17">
        <f>IFERROR(__xludf.DUMMYFUNCTION("INDEX(GOOGLEFINANCE(A53, ""open"", $J$1, $J$1), 2, 2)"),29.11)</f>
        <v>29.11</v>
      </c>
      <c r="K53" s="17">
        <f>IFERROR(__xludf.DUMMYFUNCTION("INDEX(GOOGLEFINANCE(A53, ""close"", $K$1, $K$1), 2, 2)"),26.51)</f>
        <v>26.51</v>
      </c>
      <c r="L53" s="8">
        <f t="shared" si="1"/>
        <v>-8.931638612</v>
      </c>
      <c r="M53" s="18">
        <f t="shared" si="2"/>
        <v>-89.31638612</v>
      </c>
      <c r="N53" s="18" t="str">
        <f t="shared" si="3"/>
        <v>Put Spread</v>
      </c>
      <c r="O53" s="18" t="str">
        <f t="shared" si="4"/>
        <v>Success</v>
      </c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>
      <c r="A54" s="13" t="s">
        <v>77</v>
      </c>
      <c r="B54" s="14" t="s">
        <v>18</v>
      </c>
      <c r="C54" s="15">
        <v>33.0</v>
      </c>
      <c r="D54" s="13" t="s">
        <v>19</v>
      </c>
      <c r="E54" s="15">
        <v>27.3</v>
      </c>
      <c r="F54" s="15">
        <v>4.0</v>
      </c>
      <c r="G54" s="15">
        <v>1.0</v>
      </c>
      <c r="H54" s="15">
        <v>5.0</v>
      </c>
      <c r="I54" s="16">
        <v>0.502003040954012</v>
      </c>
      <c r="J54" s="17">
        <f>IFERROR(__xludf.DUMMYFUNCTION("INDEX(GOOGLEFINANCE(A54, ""open"", $J$1, $J$1), 2, 2)"),31.8)</f>
        <v>31.8</v>
      </c>
      <c r="K54" s="17">
        <f>IFERROR(__xludf.DUMMYFUNCTION("INDEX(GOOGLEFINANCE(A54, ""close"", $K$1, $K$1), 2, 2)"),28.98)</f>
        <v>28.98</v>
      </c>
      <c r="L54" s="20">
        <f t="shared" si="1"/>
        <v>-8.867924528</v>
      </c>
      <c r="M54" s="18">
        <f t="shared" si="2"/>
        <v>-88.67924528</v>
      </c>
      <c r="N54" s="18" t="str">
        <f t="shared" si="3"/>
        <v>Put Spread</v>
      </c>
      <c r="O54" s="18" t="str">
        <f t="shared" si="4"/>
        <v>Success</v>
      </c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>
      <c r="A55" s="13" t="s">
        <v>78</v>
      </c>
      <c r="B55" s="14" t="s">
        <v>18</v>
      </c>
      <c r="C55" s="15">
        <v>84.55</v>
      </c>
      <c r="D55" s="13" t="s">
        <v>19</v>
      </c>
      <c r="E55" s="15">
        <v>74.65</v>
      </c>
      <c r="F55" s="15">
        <v>4.0</v>
      </c>
      <c r="G55" s="15">
        <v>2.0</v>
      </c>
      <c r="H55" s="15">
        <v>4.0</v>
      </c>
      <c r="I55" s="16">
        <v>-1.8249136</v>
      </c>
      <c r="J55" s="17">
        <f>IFERROR(__xludf.DUMMYFUNCTION("INDEX(GOOGLEFINANCE(A55, ""open"", $J$1, $J$1), 2, 2)"),79.88)</f>
        <v>79.88</v>
      </c>
      <c r="K55" s="17">
        <f>IFERROR(__xludf.DUMMYFUNCTION("INDEX(GOOGLEFINANCE(A55, ""close"", $K$1, $K$1), 2, 2)"),72.93)</f>
        <v>72.93</v>
      </c>
      <c r="L55" s="8">
        <f t="shared" si="1"/>
        <v>-8.700550826</v>
      </c>
      <c r="M55" s="18">
        <f t="shared" si="2"/>
        <v>-87.00550826</v>
      </c>
      <c r="N55" s="18" t="str">
        <f t="shared" si="3"/>
        <v>Put Spread</v>
      </c>
      <c r="O55" s="18" t="str">
        <f t="shared" si="4"/>
        <v>No</v>
      </c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>
      <c r="A56" s="13" t="s">
        <v>79</v>
      </c>
      <c r="B56" s="14" t="s">
        <v>18</v>
      </c>
      <c r="C56" s="15">
        <v>742.36</v>
      </c>
      <c r="D56" s="13" t="s">
        <v>19</v>
      </c>
      <c r="E56" s="15">
        <v>643.84</v>
      </c>
      <c r="F56" s="15">
        <v>2.0</v>
      </c>
      <c r="G56" s="15">
        <v>4.0</v>
      </c>
      <c r="H56" s="15">
        <v>2.0</v>
      </c>
      <c r="I56" s="16">
        <v>0.0</v>
      </c>
      <c r="J56" s="17">
        <f>IFERROR(__xludf.DUMMYFUNCTION("INDEX(GOOGLEFINANCE(A56, ""open"", $J$1, $J$1), 2, 2)"),686.22)</f>
        <v>686.22</v>
      </c>
      <c r="K56" s="17">
        <f>IFERROR(__xludf.DUMMYFUNCTION("INDEX(GOOGLEFINANCE(A56, ""close"", $K$1, $K$1), 2, 2)"),627.15)</f>
        <v>627.15</v>
      </c>
      <c r="L56" s="8">
        <f t="shared" si="1"/>
        <v>-8.60802658</v>
      </c>
      <c r="M56" s="18">
        <f t="shared" si="2"/>
        <v>-86.0802658</v>
      </c>
      <c r="N56" s="18" t="str">
        <f t="shared" si="3"/>
        <v>Put Spread</v>
      </c>
      <c r="O56" s="18" t="str">
        <f t="shared" si="4"/>
        <v>No</v>
      </c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>
      <c r="A57" s="13" t="s">
        <v>80</v>
      </c>
      <c r="B57" s="14" t="s">
        <v>18</v>
      </c>
      <c r="C57" s="15">
        <v>52.66</v>
      </c>
      <c r="D57" s="13" t="s">
        <v>19</v>
      </c>
      <c r="E57" s="15">
        <v>47.52</v>
      </c>
      <c r="F57" s="15">
        <v>5.0</v>
      </c>
      <c r="G57" s="15">
        <v>1.0</v>
      </c>
      <c r="H57" s="15">
        <v>5.0</v>
      </c>
      <c r="I57" s="16">
        <v>0.0</v>
      </c>
      <c r="J57" s="17">
        <f>IFERROR(__xludf.DUMMYFUNCTION("INDEX(GOOGLEFINANCE(A57, ""open"", $J$1, $J$1), 2, 2)"),49.01)</f>
        <v>49.01</v>
      </c>
      <c r="K57" s="17">
        <f>IFERROR(__xludf.DUMMYFUNCTION("INDEX(GOOGLEFINANCE(A57, ""close"", $K$1, $K$1), 2, 2)"),44.8)</f>
        <v>44.8</v>
      </c>
      <c r="L57" s="8">
        <f t="shared" si="1"/>
        <v>-8.590083656</v>
      </c>
      <c r="M57" s="18">
        <f t="shared" si="2"/>
        <v>-85.90083656</v>
      </c>
      <c r="N57" s="18" t="str">
        <f t="shared" si="3"/>
        <v>Put Spread</v>
      </c>
      <c r="O57" s="18" t="str">
        <f t="shared" si="4"/>
        <v>No</v>
      </c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>
      <c r="A58" s="13" t="s">
        <v>81</v>
      </c>
      <c r="B58" s="14" t="s">
        <v>18</v>
      </c>
      <c r="C58" s="15">
        <v>20.84</v>
      </c>
      <c r="D58" s="13" t="s">
        <v>19</v>
      </c>
      <c r="E58" s="15">
        <v>18.28</v>
      </c>
      <c r="F58" s="15">
        <v>5.0</v>
      </c>
      <c r="G58" s="15">
        <v>2.0</v>
      </c>
      <c r="H58" s="15">
        <v>4.0</v>
      </c>
      <c r="I58" s="16">
        <v>0.0</v>
      </c>
      <c r="J58" s="17">
        <f>IFERROR(__xludf.DUMMYFUNCTION("INDEX(GOOGLEFINANCE(A58, ""open"", $J$1, $J$1), 2, 2)"),19.62)</f>
        <v>19.62</v>
      </c>
      <c r="K58" s="17">
        <f>IFERROR(__xludf.DUMMYFUNCTION("INDEX(GOOGLEFINANCE(A58, ""close"", $K$1, $K$1), 2, 2)"),17.94)</f>
        <v>17.94</v>
      </c>
      <c r="L58" s="8">
        <f t="shared" si="1"/>
        <v>-8.562691131</v>
      </c>
      <c r="M58" s="18">
        <f t="shared" si="2"/>
        <v>-85.62691131</v>
      </c>
      <c r="N58" s="18" t="str">
        <f t="shared" si="3"/>
        <v>Put Spread</v>
      </c>
      <c r="O58" s="18" t="str">
        <f t="shared" si="4"/>
        <v>No</v>
      </c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>
      <c r="A59" s="13" t="s">
        <v>82</v>
      </c>
      <c r="B59" s="14" t="s">
        <v>18</v>
      </c>
      <c r="C59" s="15">
        <v>98.92</v>
      </c>
      <c r="D59" s="13" t="s">
        <v>19</v>
      </c>
      <c r="E59" s="15">
        <v>89.92</v>
      </c>
      <c r="F59" s="15">
        <v>5.0</v>
      </c>
      <c r="G59" s="15">
        <v>3.0</v>
      </c>
      <c r="H59" s="15">
        <v>3.0</v>
      </c>
      <c r="I59" s="16">
        <v>0.0</v>
      </c>
      <c r="J59" s="17">
        <f>IFERROR(__xludf.DUMMYFUNCTION("INDEX(GOOGLEFINANCE(A59, ""open"", $J$1, $J$1), 2, 2)"),94.93)</f>
        <v>94.93</v>
      </c>
      <c r="K59" s="17">
        <f>IFERROR(__xludf.DUMMYFUNCTION("INDEX(GOOGLEFINANCE(A59, ""close"", $K$1, $K$1), 2, 2)"),86.86)</f>
        <v>86.86</v>
      </c>
      <c r="L59" s="8">
        <f t="shared" si="1"/>
        <v>-8.501000737</v>
      </c>
      <c r="M59" s="18">
        <f t="shared" si="2"/>
        <v>-85.01000737</v>
      </c>
      <c r="N59" s="18" t="str">
        <f t="shared" si="3"/>
        <v>Put Spread</v>
      </c>
      <c r="O59" s="18" t="str">
        <f t="shared" si="4"/>
        <v>No</v>
      </c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>
      <c r="A60" s="13" t="s">
        <v>83</v>
      </c>
      <c r="B60" s="14" t="s">
        <v>18</v>
      </c>
      <c r="C60" s="15">
        <v>7.22</v>
      </c>
      <c r="D60" s="13" t="s">
        <v>19</v>
      </c>
      <c r="E60" s="15">
        <v>3.93</v>
      </c>
      <c r="F60" s="15">
        <v>5.0</v>
      </c>
      <c r="G60" s="15">
        <v>4.0</v>
      </c>
      <c r="H60" s="15">
        <v>4.0</v>
      </c>
      <c r="I60" s="16">
        <v>-0.7992829</v>
      </c>
      <c r="J60" s="17">
        <f>IFERROR(__xludf.DUMMYFUNCTION("INDEX(GOOGLEFINANCE(A60, ""open"", $J$1, $J$1), 2, 2)"),5.57)</f>
        <v>5.57</v>
      </c>
      <c r="K60" s="17">
        <f>IFERROR(__xludf.DUMMYFUNCTION("INDEX(GOOGLEFINANCE(A60, ""close"", $K$1, $K$1), 2, 2)"),5.1)</f>
        <v>5.1</v>
      </c>
      <c r="L60" s="8">
        <f t="shared" si="1"/>
        <v>-8.438061041</v>
      </c>
      <c r="M60" s="18">
        <f t="shared" si="2"/>
        <v>-84.38061041</v>
      </c>
      <c r="N60" s="18" t="str">
        <f t="shared" si="3"/>
        <v>Put Spread</v>
      </c>
      <c r="O60" s="18" t="str">
        <f t="shared" si="4"/>
        <v>Success</v>
      </c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>
      <c r="A61" s="13" t="s">
        <v>84</v>
      </c>
      <c r="B61" s="14" t="s">
        <v>18</v>
      </c>
      <c r="C61" s="15">
        <v>13.88</v>
      </c>
      <c r="D61" s="13" t="s">
        <v>19</v>
      </c>
      <c r="E61" s="15">
        <v>11.46</v>
      </c>
      <c r="F61" s="15">
        <v>5.0</v>
      </c>
      <c r="G61" s="15">
        <v>2.0</v>
      </c>
      <c r="H61" s="15">
        <v>4.0</v>
      </c>
      <c r="I61" s="16">
        <v>0.0</v>
      </c>
      <c r="J61" s="17">
        <f>IFERROR(__xludf.DUMMYFUNCTION("INDEX(GOOGLEFINANCE(A61, ""open"", $J$1, $J$1), 2, 2)"),12.73)</f>
        <v>12.73</v>
      </c>
      <c r="K61" s="17">
        <f>IFERROR(__xludf.DUMMYFUNCTION("INDEX(GOOGLEFINANCE(A61, ""close"", $K$1, $K$1), 2, 2)"),11.66)</f>
        <v>11.66</v>
      </c>
      <c r="L61" s="8">
        <f t="shared" si="1"/>
        <v>-8.405341712</v>
      </c>
      <c r="M61" s="18">
        <f t="shared" si="2"/>
        <v>-84.05341712</v>
      </c>
      <c r="N61" s="18" t="str">
        <f t="shared" si="3"/>
        <v>Put Spread</v>
      </c>
      <c r="O61" s="18" t="str">
        <f t="shared" si="4"/>
        <v>Success</v>
      </c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>
      <c r="A62" s="13" t="s">
        <v>85</v>
      </c>
      <c r="B62" s="14" t="s">
        <v>18</v>
      </c>
      <c r="C62" s="15">
        <v>10.85</v>
      </c>
      <c r="D62" s="13" t="s">
        <v>19</v>
      </c>
      <c r="E62" s="15">
        <v>8.69</v>
      </c>
      <c r="F62" s="15">
        <v>4.0</v>
      </c>
      <c r="G62" s="15">
        <v>3.0</v>
      </c>
      <c r="H62" s="15">
        <v>4.0</v>
      </c>
      <c r="I62" s="16">
        <v>-1.8704065</v>
      </c>
      <c r="J62" s="17">
        <f>IFERROR(__xludf.DUMMYFUNCTION("INDEX(GOOGLEFINANCE(A62, ""open"", $J$1, $J$1), 2, 2)"),9.88)</f>
        <v>9.88</v>
      </c>
      <c r="K62" s="17">
        <f>IFERROR(__xludf.DUMMYFUNCTION("INDEX(GOOGLEFINANCE(A62, ""close"", $K$1, $K$1), 2, 2)"),9.05)</f>
        <v>9.05</v>
      </c>
      <c r="L62" s="8">
        <f t="shared" si="1"/>
        <v>-8.400809717</v>
      </c>
      <c r="M62" s="18">
        <f t="shared" si="2"/>
        <v>-84.00809717</v>
      </c>
      <c r="N62" s="18" t="str">
        <f t="shared" si="3"/>
        <v>Put Spread</v>
      </c>
      <c r="O62" s="18" t="str">
        <f t="shared" si="4"/>
        <v>Success</v>
      </c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>
      <c r="A63" s="13" t="s">
        <v>86</v>
      </c>
      <c r="B63" s="14" t="s">
        <v>18</v>
      </c>
      <c r="C63" s="15">
        <v>15.14</v>
      </c>
      <c r="D63" s="13" t="s">
        <v>19</v>
      </c>
      <c r="E63" s="15">
        <v>12.38</v>
      </c>
      <c r="F63" s="15">
        <v>4.0</v>
      </c>
      <c r="G63" s="15">
        <v>2.0</v>
      </c>
      <c r="H63" s="15">
        <v>4.0</v>
      </c>
      <c r="I63" s="16">
        <v>1.3260455940162</v>
      </c>
      <c r="J63" s="17">
        <f>IFERROR(__xludf.DUMMYFUNCTION("INDEX(GOOGLEFINANCE(A63, ""open"", $J$1, $J$1), 2, 2)"),13.81)</f>
        <v>13.81</v>
      </c>
      <c r="K63" s="17">
        <f>IFERROR(__xludf.DUMMYFUNCTION("INDEX(GOOGLEFINANCE(A63, ""close"", $K$1, $K$1), 2, 2)"),12.65)</f>
        <v>12.65</v>
      </c>
      <c r="L63" s="8">
        <f t="shared" si="1"/>
        <v>-8.399710355</v>
      </c>
      <c r="M63" s="18">
        <f t="shared" si="2"/>
        <v>-83.99710355</v>
      </c>
      <c r="N63" s="18" t="str">
        <f t="shared" si="3"/>
        <v>Put Spread</v>
      </c>
      <c r="O63" s="18" t="str">
        <f t="shared" si="4"/>
        <v>Success</v>
      </c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>
      <c r="A64" s="13" t="s">
        <v>87</v>
      </c>
      <c r="B64" s="14" t="s">
        <v>18</v>
      </c>
      <c r="C64" s="15">
        <v>3.52</v>
      </c>
      <c r="D64" s="13" t="s">
        <v>19</v>
      </c>
      <c r="E64" s="15">
        <v>2.55</v>
      </c>
      <c r="F64" s="15">
        <v>5.0</v>
      </c>
      <c r="G64" s="15">
        <v>4.0</v>
      </c>
      <c r="H64" s="15">
        <v>3.0</v>
      </c>
      <c r="I64" s="16">
        <v>1.65076770541703</v>
      </c>
      <c r="J64" s="17">
        <f>IFERROR(__xludf.DUMMYFUNCTION("INDEX(GOOGLEFINANCE(A64, ""open"", $J$1, $J$1), 2, 2)"),3.03)</f>
        <v>3.03</v>
      </c>
      <c r="K64" s="17">
        <f>IFERROR(__xludf.DUMMYFUNCTION("INDEX(GOOGLEFINANCE(A64, ""close"", $K$1, $K$1), 2, 2)"),2.78)</f>
        <v>2.78</v>
      </c>
      <c r="L64" s="8">
        <f t="shared" si="1"/>
        <v>-8.250825083</v>
      </c>
      <c r="M64" s="18">
        <f t="shared" si="2"/>
        <v>-82.50825083</v>
      </c>
      <c r="N64" s="18" t="str">
        <f t="shared" si="3"/>
        <v>Put Spread</v>
      </c>
      <c r="O64" s="18" t="str">
        <f t="shared" si="4"/>
        <v>Success</v>
      </c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>
      <c r="A65" s="13" t="s">
        <v>88</v>
      </c>
      <c r="B65" s="14" t="s">
        <v>18</v>
      </c>
      <c r="C65" s="15">
        <v>31.32</v>
      </c>
      <c r="D65" s="13" t="s">
        <v>19</v>
      </c>
      <c r="E65" s="15">
        <v>23.14</v>
      </c>
      <c r="F65" s="15">
        <v>3.0</v>
      </c>
      <c r="G65" s="15">
        <v>3.0</v>
      </c>
      <c r="H65" s="15">
        <v>4.0</v>
      </c>
      <c r="I65" s="16">
        <v>0.0</v>
      </c>
      <c r="J65" s="17">
        <f>IFERROR(__xludf.DUMMYFUNCTION("INDEX(GOOGLEFINANCE(A65, ""open"", $J$1, $J$1), 2, 2)"),27.83)</f>
        <v>27.83</v>
      </c>
      <c r="K65" s="17">
        <f>IFERROR(__xludf.DUMMYFUNCTION("INDEX(GOOGLEFINANCE(A65, ""close"", $K$1, $K$1), 2, 2)"),25.55)</f>
        <v>25.55</v>
      </c>
      <c r="L65" s="8">
        <f t="shared" si="1"/>
        <v>-8.192597916</v>
      </c>
      <c r="M65" s="18">
        <f t="shared" si="2"/>
        <v>-81.92597916</v>
      </c>
      <c r="N65" s="18" t="str">
        <f t="shared" si="3"/>
        <v>Put Spread</v>
      </c>
      <c r="O65" s="18" t="str">
        <f t="shared" si="4"/>
        <v>Success</v>
      </c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>
      <c r="A66" s="13" t="s">
        <v>89</v>
      </c>
      <c r="B66" s="14" t="s">
        <v>18</v>
      </c>
      <c r="C66" s="15">
        <v>141.03</v>
      </c>
      <c r="D66" s="13" t="s">
        <v>19</v>
      </c>
      <c r="E66" s="15">
        <v>121.09</v>
      </c>
      <c r="F66" s="15">
        <v>5.0</v>
      </c>
      <c r="G66" s="15">
        <v>4.0</v>
      </c>
      <c r="H66" s="15">
        <v>5.0</v>
      </c>
      <c r="I66" s="16">
        <v>-1.2169183</v>
      </c>
      <c r="J66" s="17">
        <f>IFERROR(__xludf.DUMMYFUNCTION("INDEX(GOOGLEFINANCE(A66, ""open"", $J$1, $J$1), 2, 2)"),131.96)</f>
        <v>131.96</v>
      </c>
      <c r="K66" s="17">
        <f>IFERROR(__xludf.DUMMYFUNCTION("INDEX(GOOGLEFINANCE(A66, ""close"", $K$1, $K$1), 2, 2)"),121.16)</f>
        <v>121.16</v>
      </c>
      <c r="L66" s="8">
        <f t="shared" si="1"/>
        <v>-8.184298272</v>
      </c>
      <c r="M66" s="18">
        <f t="shared" si="2"/>
        <v>-81.84298272</v>
      </c>
      <c r="N66" s="18" t="str">
        <f t="shared" si="3"/>
        <v>Put Spread</v>
      </c>
      <c r="O66" s="18" t="str">
        <f t="shared" si="4"/>
        <v>Success</v>
      </c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>
      <c r="A67" s="13" t="s">
        <v>90</v>
      </c>
      <c r="B67" s="14" t="s">
        <v>18</v>
      </c>
      <c r="C67" s="15">
        <v>4.73</v>
      </c>
      <c r="D67" s="13" t="s">
        <v>19</v>
      </c>
      <c r="E67" s="15">
        <v>3.57</v>
      </c>
      <c r="F67" s="15">
        <v>4.0</v>
      </c>
      <c r="G67" s="15">
        <v>2.0</v>
      </c>
      <c r="H67" s="15">
        <v>3.0</v>
      </c>
      <c r="I67" s="16">
        <v>0.802761194090464</v>
      </c>
      <c r="J67" s="17">
        <f>IFERROR(__xludf.DUMMYFUNCTION("INDEX(GOOGLEFINANCE(A67, ""open"", $J$1, $J$1), 2, 2)"),4.16)</f>
        <v>4.16</v>
      </c>
      <c r="K67" s="17">
        <f>IFERROR(__xludf.DUMMYFUNCTION("INDEX(GOOGLEFINANCE(A67, ""close"", $K$1, $K$1), 2, 2)"),3.82)</f>
        <v>3.82</v>
      </c>
      <c r="L67" s="8">
        <f t="shared" si="1"/>
        <v>-8.173076923</v>
      </c>
      <c r="M67" s="18">
        <f t="shared" si="2"/>
        <v>-81.73076923</v>
      </c>
      <c r="N67" s="18" t="str">
        <f t="shared" si="3"/>
        <v>Put Spread</v>
      </c>
      <c r="O67" s="18" t="str">
        <f t="shared" si="4"/>
        <v>Success</v>
      </c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>
      <c r="A68" s="13" t="s">
        <v>91</v>
      </c>
      <c r="B68" s="14" t="s">
        <v>18</v>
      </c>
      <c r="C68" s="15">
        <v>241.11</v>
      </c>
      <c r="D68" s="13" t="s">
        <v>19</v>
      </c>
      <c r="E68" s="15">
        <v>221.77</v>
      </c>
      <c r="F68" s="15">
        <v>3.0</v>
      </c>
      <c r="G68" s="15">
        <v>2.0</v>
      </c>
      <c r="H68" s="15">
        <v>5.0</v>
      </c>
      <c r="I68" s="16">
        <v>0.0</v>
      </c>
      <c r="J68" s="17">
        <f>IFERROR(__xludf.DUMMYFUNCTION("INDEX(GOOGLEFINANCE(A68, ""open"", $J$1, $J$1), 2, 2)"),233.35)</f>
        <v>233.35</v>
      </c>
      <c r="K68" s="17">
        <f>IFERROR(__xludf.DUMMYFUNCTION("INDEX(GOOGLEFINANCE(A68, ""close"", $K$1, $K$1), 2, 2)"),214.75)</f>
        <v>214.75</v>
      </c>
      <c r="L68" s="8">
        <f t="shared" si="1"/>
        <v>-7.970859224</v>
      </c>
      <c r="M68" s="18">
        <f t="shared" si="2"/>
        <v>-79.70859224</v>
      </c>
      <c r="N68" s="18" t="str">
        <f t="shared" si="3"/>
        <v>Put Spread</v>
      </c>
      <c r="O68" s="18" t="str">
        <f t="shared" si="4"/>
        <v>No</v>
      </c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>
      <c r="A69" s="13" t="s">
        <v>92</v>
      </c>
      <c r="B69" s="14" t="s">
        <v>18</v>
      </c>
      <c r="C69" s="15">
        <v>1.53</v>
      </c>
      <c r="D69" s="13" t="s">
        <v>19</v>
      </c>
      <c r="E69" s="15">
        <v>0.93</v>
      </c>
      <c r="F69" s="15">
        <v>5.0</v>
      </c>
      <c r="G69" s="15">
        <v>2.0</v>
      </c>
      <c r="H69" s="15">
        <v>4.0</v>
      </c>
      <c r="I69" s="16">
        <v>0.816603225319013</v>
      </c>
      <c r="J69" s="17">
        <f>IFERROR(__xludf.DUMMYFUNCTION("INDEX(GOOGLEFINANCE(A69, ""open"", $J$1, $J$1), 2, 2)"),1.26)</f>
        <v>1.26</v>
      </c>
      <c r="K69" s="17">
        <f>IFERROR(__xludf.DUMMYFUNCTION("INDEX(GOOGLEFINANCE(A69, ""close"", $K$1, $K$1), 2, 2)"),1.16)</f>
        <v>1.16</v>
      </c>
      <c r="L69" s="8">
        <f t="shared" si="1"/>
        <v>-7.936507937</v>
      </c>
      <c r="M69" s="18">
        <f t="shared" si="2"/>
        <v>-79.36507937</v>
      </c>
      <c r="N69" s="18" t="str">
        <f t="shared" si="3"/>
        <v>Put Spread</v>
      </c>
      <c r="O69" s="18" t="str">
        <f t="shared" si="4"/>
        <v>Success</v>
      </c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>
      <c r="A70" s="13" t="s">
        <v>93</v>
      </c>
      <c r="B70" s="14" t="s">
        <v>18</v>
      </c>
      <c r="C70" s="15">
        <v>1.36</v>
      </c>
      <c r="D70" s="13" t="s">
        <v>19</v>
      </c>
      <c r="E70" s="15">
        <v>0.92</v>
      </c>
      <c r="F70" s="15">
        <v>3.0</v>
      </c>
      <c r="G70" s="15">
        <v>3.0</v>
      </c>
      <c r="H70" s="15">
        <v>1.0</v>
      </c>
      <c r="I70" s="16">
        <v>0.38868955</v>
      </c>
      <c r="J70" s="17">
        <f>IFERROR(__xludf.DUMMYFUNCTION("INDEX(GOOGLEFINANCE(A70, ""open"", $J$1, $J$1), 2, 2)"),1.14)</f>
        <v>1.14</v>
      </c>
      <c r="K70" s="17">
        <f>IFERROR(__xludf.DUMMYFUNCTION("INDEX(GOOGLEFINANCE(A70, ""close"", $K$1, $K$1), 2, 2)"),1.05)</f>
        <v>1.05</v>
      </c>
      <c r="L70" s="8">
        <f t="shared" si="1"/>
        <v>-7.894736842</v>
      </c>
      <c r="M70" s="18">
        <f t="shared" si="2"/>
        <v>-78.94736842</v>
      </c>
      <c r="N70" s="18" t="str">
        <f t="shared" si="3"/>
        <v>Put Spread</v>
      </c>
      <c r="O70" s="18" t="str">
        <f t="shared" si="4"/>
        <v>Success</v>
      </c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>
      <c r="A71" s="13" t="s">
        <v>94</v>
      </c>
      <c r="B71" s="14" t="s">
        <v>18</v>
      </c>
      <c r="C71" s="15">
        <v>1.44</v>
      </c>
      <c r="D71" s="13" t="s">
        <v>19</v>
      </c>
      <c r="E71" s="15">
        <v>1.08</v>
      </c>
      <c r="F71" s="15">
        <v>3.0</v>
      </c>
      <c r="G71" s="15">
        <v>1.0</v>
      </c>
      <c r="H71" s="15">
        <v>0.0</v>
      </c>
      <c r="I71" s="16">
        <v>0.0</v>
      </c>
      <c r="J71" s="17">
        <f>IFERROR(__xludf.DUMMYFUNCTION("INDEX(GOOGLEFINANCE(A71, ""open"", $J$1, $J$1), 2, 2)"),1.27)</f>
        <v>1.27</v>
      </c>
      <c r="K71" s="17">
        <f>IFERROR(__xludf.DUMMYFUNCTION("INDEX(GOOGLEFINANCE(A71, ""close"", $K$1, $K$1), 2, 2)"),1.17)</f>
        <v>1.17</v>
      </c>
      <c r="L71" s="20">
        <f t="shared" si="1"/>
        <v>-7.874015748</v>
      </c>
      <c r="M71" s="18">
        <f t="shared" si="2"/>
        <v>-78.74015748</v>
      </c>
      <c r="N71" s="18" t="str">
        <f t="shared" si="3"/>
        <v>Put Spread</v>
      </c>
      <c r="O71" s="18" t="str">
        <f t="shared" si="4"/>
        <v>Success</v>
      </c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>
      <c r="A72" s="13" t="s">
        <v>95</v>
      </c>
      <c r="B72" s="14" t="s">
        <v>18</v>
      </c>
      <c r="C72" s="15">
        <v>17.72</v>
      </c>
      <c r="D72" s="13" t="s">
        <v>19</v>
      </c>
      <c r="E72" s="15">
        <v>15.36</v>
      </c>
      <c r="F72" s="15">
        <v>2.0</v>
      </c>
      <c r="G72" s="15">
        <v>3.0</v>
      </c>
      <c r="H72" s="15">
        <v>3.0</v>
      </c>
      <c r="I72" s="16">
        <v>2.51787425</v>
      </c>
      <c r="J72" s="17">
        <f>IFERROR(__xludf.DUMMYFUNCTION("INDEX(GOOGLEFINANCE(A72, ""open"", $J$1, $J$1), 2, 2)"),16.69)</f>
        <v>16.69</v>
      </c>
      <c r="K72" s="17">
        <f>IFERROR(__xludf.DUMMYFUNCTION("INDEX(GOOGLEFINANCE(A72, ""close"", $K$1, $K$1), 2, 2)"),15.38)</f>
        <v>15.38</v>
      </c>
      <c r="L72" s="8">
        <f t="shared" si="1"/>
        <v>-7.849011384</v>
      </c>
      <c r="M72" s="18">
        <f t="shared" si="2"/>
        <v>-78.49011384</v>
      </c>
      <c r="N72" s="18" t="str">
        <f t="shared" si="3"/>
        <v>Put Spread</v>
      </c>
      <c r="O72" s="18" t="str">
        <f t="shared" si="4"/>
        <v>Success</v>
      </c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>
      <c r="A73" s="13" t="s">
        <v>96</v>
      </c>
      <c r="B73" s="14" t="s">
        <v>18</v>
      </c>
      <c r="C73" s="15">
        <v>231.08</v>
      </c>
      <c r="D73" s="13" t="s">
        <v>19</v>
      </c>
      <c r="E73" s="15">
        <v>196.52</v>
      </c>
      <c r="F73" s="15">
        <v>4.0</v>
      </c>
      <c r="G73" s="15">
        <v>0.0</v>
      </c>
      <c r="H73" s="15">
        <v>4.0</v>
      </c>
      <c r="I73" s="16">
        <v>0.0</v>
      </c>
      <c r="J73" s="17">
        <f>IFERROR(__xludf.DUMMYFUNCTION("INDEX(GOOGLEFINANCE(A73, ""open"", $J$1, $J$1), 2, 2)"),217.79)</f>
        <v>217.79</v>
      </c>
      <c r="K73" s="17">
        <f>IFERROR(__xludf.DUMMYFUNCTION("INDEX(GOOGLEFINANCE(A73, ""close"", $K$1, $K$1), 2, 2)"),200.76)</f>
        <v>200.76</v>
      </c>
      <c r="L73" s="8">
        <f t="shared" si="1"/>
        <v>-7.819459112</v>
      </c>
      <c r="M73" s="18">
        <f t="shared" si="2"/>
        <v>-78.19459112</v>
      </c>
      <c r="N73" s="18" t="str">
        <f t="shared" si="3"/>
        <v>Put Spread</v>
      </c>
      <c r="O73" s="18" t="str">
        <f t="shared" si="4"/>
        <v>Success</v>
      </c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>
      <c r="A74" s="13" t="s">
        <v>97</v>
      </c>
      <c r="B74" s="14" t="s">
        <v>18</v>
      </c>
      <c r="C74" s="15">
        <v>5.36</v>
      </c>
      <c r="D74" s="13" t="s">
        <v>19</v>
      </c>
      <c r="E74" s="15">
        <v>4.32</v>
      </c>
      <c r="F74" s="15">
        <v>2.0</v>
      </c>
      <c r="G74" s="15">
        <v>2.0</v>
      </c>
      <c r="H74" s="15">
        <v>5.0</v>
      </c>
      <c r="I74" s="16">
        <v>0.0</v>
      </c>
      <c r="J74" s="17">
        <f>IFERROR(__xludf.DUMMYFUNCTION("INDEX(GOOGLEFINANCE(A74, ""open"", $J$1, $J$1), 2, 2)"),4.86)</f>
        <v>4.86</v>
      </c>
      <c r="K74" s="17">
        <f>IFERROR(__xludf.DUMMYFUNCTION("INDEX(GOOGLEFINANCE(A74, ""close"", $K$1, $K$1), 2, 2)"),4.48)</f>
        <v>4.48</v>
      </c>
      <c r="L74" s="8">
        <f t="shared" si="1"/>
        <v>-7.818930041</v>
      </c>
      <c r="M74" s="18">
        <f t="shared" si="2"/>
        <v>-78.18930041</v>
      </c>
      <c r="N74" s="18" t="str">
        <f t="shared" si="3"/>
        <v>Put Spread</v>
      </c>
      <c r="O74" s="18" t="str">
        <f t="shared" si="4"/>
        <v>Success</v>
      </c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>
      <c r="A75" s="13" t="s">
        <v>98</v>
      </c>
      <c r="B75" s="14" t="s">
        <v>18</v>
      </c>
      <c r="C75" s="15">
        <v>254.26</v>
      </c>
      <c r="D75" s="13" t="s">
        <v>19</v>
      </c>
      <c r="E75" s="15">
        <v>229.22</v>
      </c>
      <c r="F75" s="15">
        <v>4.0</v>
      </c>
      <c r="G75" s="15">
        <v>3.0</v>
      </c>
      <c r="H75" s="15">
        <v>4.0</v>
      </c>
      <c r="I75" s="16">
        <v>0.0</v>
      </c>
      <c r="J75" s="17">
        <f>IFERROR(__xludf.DUMMYFUNCTION("INDEX(GOOGLEFINANCE(A75, ""open"", $J$1, $J$1), 2, 2)"),241.05)</f>
        <v>241.05</v>
      </c>
      <c r="K75" s="17">
        <f>IFERROR(__xludf.DUMMYFUNCTION("INDEX(GOOGLEFINANCE(A75, ""close"", $K$1, $K$1), 2, 2)"),222.22)</f>
        <v>222.22</v>
      </c>
      <c r="L75" s="8">
        <f t="shared" si="1"/>
        <v>-7.811657333</v>
      </c>
      <c r="M75" s="18">
        <f t="shared" si="2"/>
        <v>-78.11657333</v>
      </c>
      <c r="N75" s="18" t="str">
        <f t="shared" si="3"/>
        <v>Put Spread</v>
      </c>
      <c r="O75" s="18" t="str">
        <f t="shared" si="4"/>
        <v>No</v>
      </c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>
      <c r="A76" s="13" t="s">
        <v>99</v>
      </c>
      <c r="B76" s="14" t="s">
        <v>18</v>
      </c>
      <c r="C76" s="15">
        <v>32.66</v>
      </c>
      <c r="D76" s="13" t="s">
        <v>19</v>
      </c>
      <c r="E76" s="15">
        <v>29.02</v>
      </c>
      <c r="F76" s="15">
        <v>3.0</v>
      </c>
      <c r="G76" s="15">
        <v>1.0</v>
      </c>
      <c r="H76" s="15">
        <v>4.0</v>
      </c>
      <c r="I76" s="16">
        <v>0.0</v>
      </c>
      <c r="J76" s="17">
        <f>IFERROR(__xludf.DUMMYFUNCTION("INDEX(GOOGLEFINANCE(A76, ""open"", $J$1, $J$1), 2, 2)"),30.8)</f>
        <v>30.8</v>
      </c>
      <c r="K76" s="17">
        <f>IFERROR(__xludf.DUMMYFUNCTION("INDEX(GOOGLEFINANCE(A76, ""close"", $K$1, $K$1), 2, 2)"),28.4)</f>
        <v>28.4</v>
      </c>
      <c r="L76" s="8">
        <f t="shared" si="1"/>
        <v>-7.792207792</v>
      </c>
      <c r="M76" s="18">
        <f t="shared" si="2"/>
        <v>-77.92207792</v>
      </c>
      <c r="N76" s="18" t="str">
        <f t="shared" si="3"/>
        <v>Put Spread</v>
      </c>
      <c r="O76" s="18" t="str">
        <f t="shared" si="4"/>
        <v>No</v>
      </c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>
      <c r="A77" s="13" t="s">
        <v>100</v>
      </c>
      <c r="B77" s="14" t="s">
        <v>18</v>
      </c>
      <c r="C77" s="15">
        <v>87.14</v>
      </c>
      <c r="D77" s="13" t="s">
        <v>19</v>
      </c>
      <c r="E77" s="15">
        <v>81.5</v>
      </c>
      <c r="F77" s="15">
        <v>4.0</v>
      </c>
      <c r="G77" s="15">
        <v>1.0</v>
      </c>
      <c r="H77" s="15">
        <v>5.0</v>
      </c>
      <c r="I77" s="16">
        <v>0.0</v>
      </c>
      <c r="J77" s="17">
        <f>IFERROR(__xludf.DUMMYFUNCTION("INDEX(GOOGLEFINANCE(A77, ""open"", $J$1, $J$1), 2, 2)"),84.32)</f>
        <v>84.32</v>
      </c>
      <c r="K77" s="17">
        <f>IFERROR(__xludf.DUMMYFUNCTION("INDEX(GOOGLEFINANCE(A77, ""close"", $K$1, $K$1), 2, 2)"),77.78)</f>
        <v>77.78</v>
      </c>
      <c r="L77" s="8">
        <f t="shared" si="1"/>
        <v>-7.756166983</v>
      </c>
      <c r="M77" s="18">
        <f t="shared" si="2"/>
        <v>-77.56166983</v>
      </c>
      <c r="N77" s="18" t="str">
        <f t="shared" si="3"/>
        <v>Put Spread</v>
      </c>
      <c r="O77" s="18" t="str">
        <f t="shared" si="4"/>
        <v>No</v>
      </c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>
      <c r="A78" s="13" t="s">
        <v>101</v>
      </c>
      <c r="B78" s="14" t="s">
        <v>18</v>
      </c>
      <c r="C78" s="15">
        <v>85.63</v>
      </c>
      <c r="D78" s="13" t="s">
        <v>19</v>
      </c>
      <c r="E78" s="15">
        <v>65.37</v>
      </c>
      <c r="F78" s="15">
        <v>5.0</v>
      </c>
      <c r="G78" s="15">
        <v>2.0</v>
      </c>
      <c r="H78" s="15">
        <v>5.0</v>
      </c>
      <c r="I78" s="16">
        <v>0.0</v>
      </c>
      <c r="J78" s="17">
        <f>IFERROR(__xludf.DUMMYFUNCTION("INDEX(GOOGLEFINANCE(A78, ""open"", $J$1, $J$1), 2, 2)"),77.5)</f>
        <v>77.5</v>
      </c>
      <c r="K78" s="17">
        <f>IFERROR(__xludf.DUMMYFUNCTION("INDEX(GOOGLEFINANCE(A78, ""close"", $K$1, $K$1), 2, 2)"),71.49)</f>
        <v>71.49</v>
      </c>
      <c r="L78" s="8">
        <f t="shared" si="1"/>
        <v>-7.75483871</v>
      </c>
      <c r="M78" s="18">
        <f t="shared" si="2"/>
        <v>-77.5483871</v>
      </c>
      <c r="N78" s="18" t="str">
        <f t="shared" si="3"/>
        <v>Put Spread</v>
      </c>
      <c r="O78" s="18" t="str">
        <f t="shared" si="4"/>
        <v>Success</v>
      </c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>
      <c r="A79" s="13" t="s">
        <v>102</v>
      </c>
      <c r="B79" s="14" t="s">
        <v>18</v>
      </c>
      <c r="C79" s="15">
        <v>11.84</v>
      </c>
      <c r="D79" s="13" t="s">
        <v>19</v>
      </c>
      <c r="E79" s="15">
        <v>9.82</v>
      </c>
      <c r="F79" s="15">
        <v>5.0</v>
      </c>
      <c r="G79" s="15">
        <v>3.0</v>
      </c>
      <c r="H79" s="15">
        <v>2.0</v>
      </c>
      <c r="I79" s="16">
        <v>0.611249785552697</v>
      </c>
      <c r="J79" s="17">
        <f>IFERROR(__xludf.DUMMYFUNCTION("INDEX(GOOGLEFINANCE(A79, ""open"", $J$1, $J$1), 2, 2)"),10.85)</f>
        <v>10.85</v>
      </c>
      <c r="K79" s="17">
        <f>IFERROR(__xludf.DUMMYFUNCTION("INDEX(GOOGLEFINANCE(A79, ""close"", $K$1, $K$1), 2, 2)"),10.01)</f>
        <v>10.01</v>
      </c>
      <c r="L79" s="8">
        <f t="shared" si="1"/>
        <v>-7.741935484</v>
      </c>
      <c r="M79" s="18">
        <f t="shared" si="2"/>
        <v>-77.41935484</v>
      </c>
      <c r="N79" s="18" t="str">
        <f t="shared" si="3"/>
        <v>Put Spread</v>
      </c>
      <c r="O79" s="18" t="str">
        <f t="shared" si="4"/>
        <v>Success</v>
      </c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>
      <c r="A80" s="13" t="s">
        <v>103</v>
      </c>
      <c r="B80" s="14" t="s">
        <v>18</v>
      </c>
      <c r="C80" s="15">
        <v>2.42</v>
      </c>
      <c r="D80" s="13" t="s">
        <v>19</v>
      </c>
      <c r="E80" s="15">
        <v>2.02</v>
      </c>
      <c r="F80" s="15">
        <v>4.0</v>
      </c>
      <c r="G80" s="15">
        <v>2.0</v>
      </c>
      <c r="H80" s="15">
        <v>4.0</v>
      </c>
      <c r="I80" s="16">
        <v>0.0</v>
      </c>
      <c r="J80" s="17">
        <f>IFERROR(__xludf.DUMMYFUNCTION("INDEX(GOOGLEFINANCE(A80, ""open"", $J$1, $J$1), 2, 2)"),2.21)</f>
        <v>2.21</v>
      </c>
      <c r="K80" s="17">
        <f>IFERROR(__xludf.DUMMYFUNCTION("INDEX(GOOGLEFINANCE(A80, ""close"", $K$1, $K$1), 2, 2)"),2.04)</f>
        <v>2.04</v>
      </c>
      <c r="L80" s="8">
        <f t="shared" si="1"/>
        <v>-7.692307692</v>
      </c>
      <c r="M80" s="18">
        <f t="shared" si="2"/>
        <v>-76.92307692</v>
      </c>
      <c r="N80" s="18" t="str">
        <f t="shared" si="3"/>
        <v>Put Spread</v>
      </c>
      <c r="O80" s="18" t="str">
        <f t="shared" si="4"/>
        <v>Success</v>
      </c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>
      <c r="A81" s="13" t="s">
        <v>104</v>
      </c>
      <c r="B81" s="14" t="s">
        <v>18</v>
      </c>
      <c r="C81" s="15">
        <v>4.29</v>
      </c>
      <c r="D81" s="13" t="s">
        <v>19</v>
      </c>
      <c r="E81" s="15">
        <v>3.53</v>
      </c>
      <c r="F81" s="15">
        <v>2.0</v>
      </c>
      <c r="G81" s="15">
        <v>3.0</v>
      </c>
      <c r="H81" s="15">
        <v>2.0</v>
      </c>
      <c r="I81" s="16">
        <v>0.0</v>
      </c>
      <c r="J81" s="17">
        <f>IFERROR(__xludf.DUMMYFUNCTION("INDEX(GOOGLEFINANCE(A81, ""open"", $J$1, $J$1), 2, 2)"),3.91)</f>
        <v>3.91</v>
      </c>
      <c r="K81" s="17">
        <f>IFERROR(__xludf.DUMMYFUNCTION("INDEX(GOOGLEFINANCE(A81, ""close"", $K$1, $K$1), 2, 2)"),3.61)</f>
        <v>3.61</v>
      </c>
      <c r="L81" s="20">
        <f t="shared" si="1"/>
        <v>-7.672634271</v>
      </c>
      <c r="M81" s="18">
        <f t="shared" si="2"/>
        <v>-76.72634271</v>
      </c>
      <c r="N81" s="18" t="str">
        <f t="shared" si="3"/>
        <v>Put Spread</v>
      </c>
      <c r="O81" s="18" t="str">
        <f t="shared" si="4"/>
        <v>Success</v>
      </c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>
      <c r="A82" s="13" t="s">
        <v>105</v>
      </c>
      <c r="B82" s="14" t="s">
        <v>18</v>
      </c>
      <c r="C82" s="15">
        <v>85.16</v>
      </c>
      <c r="D82" s="13" t="s">
        <v>19</v>
      </c>
      <c r="E82" s="15">
        <v>74.58</v>
      </c>
      <c r="F82" s="15">
        <v>3.0</v>
      </c>
      <c r="G82" s="15">
        <v>3.0</v>
      </c>
      <c r="H82" s="15">
        <v>3.0</v>
      </c>
      <c r="I82" s="16">
        <v>0.0</v>
      </c>
      <c r="J82" s="17">
        <f>IFERROR(__xludf.DUMMYFUNCTION("INDEX(GOOGLEFINANCE(A82, ""open"", $J$1, $J$1), 2, 2)"),79.95)</f>
        <v>79.95</v>
      </c>
      <c r="K82" s="17">
        <f>IFERROR(__xludf.DUMMYFUNCTION("INDEX(GOOGLEFINANCE(A82, ""close"", $K$1, $K$1), 2, 2)"),73.84)</f>
        <v>73.84</v>
      </c>
      <c r="L82" s="8">
        <f t="shared" si="1"/>
        <v>-7.642276423</v>
      </c>
      <c r="M82" s="18">
        <f t="shared" si="2"/>
        <v>-76.42276423</v>
      </c>
      <c r="N82" s="18" t="str">
        <f t="shared" si="3"/>
        <v>Put Spread</v>
      </c>
      <c r="O82" s="18" t="str">
        <f t="shared" si="4"/>
        <v>No</v>
      </c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>
      <c r="A83" s="13" t="s">
        <v>106</v>
      </c>
      <c r="B83" s="14" t="s">
        <v>18</v>
      </c>
      <c r="C83" s="15">
        <v>102.51</v>
      </c>
      <c r="D83" s="13" t="s">
        <v>19</v>
      </c>
      <c r="E83" s="15">
        <v>93.87</v>
      </c>
      <c r="F83" s="15">
        <v>5.0</v>
      </c>
      <c r="G83" s="15">
        <v>2.0</v>
      </c>
      <c r="H83" s="15">
        <v>1.0</v>
      </c>
      <c r="I83" s="16">
        <v>0.0</v>
      </c>
      <c r="J83" s="17">
        <f>IFERROR(__xludf.DUMMYFUNCTION("INDEX(GOOGLEFINANCE(A83, ""open"", $J$1, $J$1), 2, 2)"),99.23)</f>
        <v>99.23</v>
      </c>
      <c r="K83" s="17">
        <f>IFERROR(__xludf.DUMMYFUNCTION("INDEX(GOOGLEFINANCE(A83, ""close"", $K$1, $K$1), 2, 2)"),91.59)</f>
        <v>91.59</v>
      </c>
      <c r="L83" s="8">
        <f t="shared" si="1"/>
        <v>-7.699284491</v>
      </c>
      <c r="M83" s="18">
        <f t="shared" si="2"/>
        <v>-76.99284491</v>
      </c>
      <c r="N83" s="18" t="str">
        <f t="shared" si="3"/>
        <v>Put Spread</v>
      </c>
      <c r="O83" s="18" t="str">
        <f t="shared" si="4"/>
        <v>No</v>
      </c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>
      <c r="A84" s="13" t="s">
        <v>107</v>
      </c>
      <c r="B84" s="14" t="s">
        <v>18</v>
      </c>
      <c r="C84" s="15">
        <v>79.09</v>
      </c>
      <c r="D84" s="13" t="s">
        <v>19</v>
      </c>
      <c r="E84" s="15">
        <v>67.71</v>
      </c>
      <c r="F84" s="15">
        <v>5.0</v>
      </c>
      <c r="G84" s="15">
        <v>2.0</v>
      </c>
      <c r="H84" s="15">
        <v>3.0</v>
      </c>
      <c r="I84" s="16">
        <v>0.0</v>
      </c>
      <c r="J84" s="17">
        <f>IFERROR(__xludf.DUMMYFUNCTION("INDEX(GOOGLEFINANCE(A84, ""open"", $J$1, $J$1), 2, 2)"),74.39)</f>
        <v>74.39</v>
      </c>
      <c r="K84" s="17">
        <f>IFERROR(__xludf.DUMMYFUNCTION("INDEX(GOOGLEFINANCE(A84, ""close"", $K$1, $K$1), 2, 2)"),68.75)</f>
        <v>68.75</v>
      </c>
      <c r="L84" s="8">
        <f t="shared" si="1"/>
        <v>-7.581664202</v>
      </c>
      <c r="M84" s="18">
        <f t="shared" si="2"/>
        <v>-75.81664202</v>
      </c>
      <c r="N84" s="18" t="str">
        <f t="shared" si="3"/>
        <v>Put Spread</v>
      </c>
      <c r="O84" s="18" t="str">
        <f t="shared" si="4"/>
        <v>Success</v>
      </c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</row>
    <row r="85">
      <c r="A85" s="13" t="s">
        <v>108</v>
      </c>
      <c r="B85" s="14" t="s">
        <v>18</v>
      </c>
      <c r="C85" s="15">
        <v>96.03</v>
      </c>
      <c r="D85" s="13" t="s">
        <v>19</v>
      </c>
      <c r="E85" s="15">
        <v>86.19</v>
      </c>
      <c r="F85" s="15">
        <v>5.0</v>
      </c>
      <c r="G85" s="15">
        <v>1.0</v>
      </c>
      <c r="H85" s="15">
        <v>4.0</v>
      </c>
      <c r="I85" s="16">
        <v>0.0</v>
      </c>
      <c r="J85" s="17">
        <f>IFERROR(__xludf.DUMMYFUNCTION("INDEX(GOOGLEFINANCE(A85, ""open"", $J$1, $J$1), 2, 2)"),91.36)</f>
        <v>91.36</v>
      </c>
      <c r="K85" s="17">
        <f>IFERROR(__xludf.DUMMYFUNCTION("INDEX(GOOGLEFINANCE(A85, ""close"", $K$1, $K$1), 2, 2)"),84.56)</f>
        <v>84.56</v>
      </c>
      <c r="L85" s="8">
        <f t="shared" si="1"/>
        <v>-7.443082312</v>
      </c>
      <c r="M85" s="18">
        <f t="shared" si="2"/>
        <v>-74.43082312</v>
      </c>
      <c r="N85" s="18" t="str">
        <f t="shared" si="3"/>
        <v>Put Spread</v>
      </c>
      <c r="O85" s="18" t="str">
        <f t="shared" si="4"/>
        <v>No</v>
      </c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>
      <c r="A86" s="13" t="s">
        <v>109</v>
      </c>
      <c r="B86" s="14" t="s">
        <v>18</v>
      </c>
      <c r="C86" s="15">
        <v>156.68</v>
      </c>
      <c r="D86" s="13" t="s">
        <v>19</v>
      </c>
      <c r="E86" s="15">
        <v>146.62</v>
      </c>
      <c r="F86" s="15">
        <v>4.0</v>
      </c>
      <c r="G86" s="15">
        <v>2.0</v>
      </c>
      <c r="H86" s="15">
        <v>3.0</v>
      </c>
      <c r="I86" s="16">
        <v>0.0</v>
      </c>
      <c r="J86" s="17">
        <f>IFERROR(__xludf.DUMMYFUNCTION("INDEX(GOOGLEFINANCE(A86, ""open"", $J$1, $J$1), 2, 2)"),151.24)</f>
        <v>151.24</v>
      </c>
      <c r="K86" s="17">
        <f>IFERROR(__xludf.DUMMYFUNCTION("INDEX(GOOGLEFINANCE(A86, ""close"", $K$1, $K$1), 2, 2)"),140.0)</f>
        <v>140</v>
      </c>
      <c r="L86" s="20">
        <f t="shared" si="1"/>
        <v>-7.431896324</v>
      </c>
      <c r="M86" s="18">
        <f t="shared" si="2"/>
        <v>-74.31896324</v>
      </c>
      <c r="N86" s="18" t="str">
        <f t="shared" si="3"/>
        <v>Put Spread</v>
      </c>
      <c r="O86" s="18" t="str">
        <f t="shared" si="4"/>
        <v>No</v>
      </c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>
      <c r="A87" s="13" t="s">
        <v>110</v>
      </c>
      <c r="B87" s="14" t="s">
        <v>18</v>
      </c>
      <c r="C87" s="15">
        <v>16.33</v>
      </c>
      <c r="D87" s="13" t="s">
        <v>19</v>
      </c>
      <c r="E87" s="15">
        <v>13.47</v>
      </c>
      <c r="F87" s="15">
        <v>5.0</v>
      </c>
      <c r="G87" s="15">
        <v>2.0</v>
      </c>
      <c r="H87" s="15">
        <v>3.0</v>
      </c>
      <c r="I87" s="16">
        <v>1.61511040298523</v>
      </c>
      <c r="J87" s="17">
        <f>IFERROR(__xludf.DUMMYFUNCTION("INDEX(GOOGLEFINANCE(A87, ""open"", $J$1, $J$1), 2, 2)"),15.13)</f>
        <v>15.13</v>
      </c>
      <c r="K87" s="17">
        <f>IFERROR(__xludf.DUMMYFUNCTION("INDEX(GOOGLEFINANCE(A87, ""close"", $K$1, $K$1), 2, 2)"),14.01)</f>
        <v>14.01</v>
      </c>
      <c r="L87" s="8">
        <f t="shared" si="1"/>
        <v>-7.402511566</v>
      </c>
      <c r="M87" s="18">
        <f t="shared" si="2"/>
        <v>-74.02511566</v>
      </c>
      <c r="N87" s="18" t="str">
        <f t="shared" si="3"/>
        <v>Put Spread</v>
      </c>
      <c r="O87" s="18" t="str">
        <f t="shared" si="4"/>
        <v>Success</v>
      </c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>
      <c r="A88" s="13" t="s">
        <v>111</v>
      </c>
      <c r="B88" s="14" t="s">
        <v>18</v>
      </c>
      <c r="C88" s="15">
        <v>35.28</v>
      </c>
      <c r="D88" s="13" t="s">
        <v>19</v>
      </c>
      <c r="E88" s="15">
        <v>31.08</v>
      </c>
      <c r="F88" s="15">
        <v>5.0</v>
      </c>
      <c r="G88" s="15">
        <v>3.0</v>
      </c>
      <c r="H88" s="15">
        <v>4.0</v>
      </c>
      <c r="I88" s="16">
        <v>-1.5039186</v>
      </c>
      <c r="J88" s="17">
        <f>IFERROR(__xludf.DUMMYFUNCTION("INDEX(GOOGLEFINANCE(A88, ""open"", $J$1, $J$1), 2, 2)"),33.38)</f>
        <v>33.38</v>
      </c>
      <c r="K88" s="17">
        <f>IFERROR(__xludf.DUMMYFUNCTION("INDEX(GOOGLEFINANCE(A88, ""close"", $K$1, $K$1), 2, 2)"),30.91)</f>
        <v>30.91</v>
      </c>
      <c r="L88" s="20">
        <f t="shared" si="1"/>
        <v>-7.399640503</v>
      </c>
      <c r="M88" s="18">
        <f t="shared" si="2"/>
        <v>-73.99640503</v>
      </c>
      <c r="N88" s="18" t="str">
        <f t="shared" si="3"/>
        <v>Put Spread</v>
      </c>
      <c r="O88" s="18" t="str">
        <f t="shared" si="4"/>
        <v>No</v>
      </c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>
      <c r="A89" s="13" t="s">
        <v>112</v>
      </c>
      <c r="B89" s="14" t="s">
        <v>18</v>
      </c>
      <c r="C89" s="15">
        <v>65.24</v>
      </c>
      <c r="D89" s="13" t="s">
        <v>19</v>
      </c>
      <c r="E89" s="15">
        <v>54.3</v>
      </c>
      <c r="F89" s="15">
        <v>3.0</v>
      </c>
      <c r="G89" s="15">
        <v>4.0</v>
      </c>
      <c r="H89" s="15">
        <v>5.0</v>
      </c>
      <c r="I89" s="16">
        <v>0.0</v>
      </c>
      <c r="J89" s="17">
        <f>IFERROR(__xludf.DUMMYFUNCTION("INDEX(GOOGLEFINANCE(A89, ""open"", $J$1, $J$1), 2, 2)"),61.19)</f>
        <v>61.19</v>
      </c>
      <c r="K89" s="17">
        <f>IFERROR(__xludf.DUMMYFUNCTION("INDEX(GOOGLEFINANCE(A89, ""close"", $K$1, $K$1), 2, 2)"),56.71)</f>
        <v>56.71</v>
      </c>
      <c r="L89" s="20">
        <f t="shared" si="1"/>
        <v>-7.321457755</v>
      </c>
      <c r="M89" s="18">
        <f t="shared" si="2"/>
        <v>-73.21457755</v>
      </c>
      <c r="N89" s="18" t="str">
        <f t="shared" si="3"/>
        <v>Put Spread</v>
      </c>
      <c r="O89" s="18" t="str">
        <f t="shared" si="4"/>
        <v>Success</v>
      </c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>
      <c r="A90" s="13" t="s">
        <v>113</v>
      </c>
      <c r="B90" s="14" t="s">
        <v>18</v>
      </c>
      <c r="C90" s="15">
        <v>166.07</v>
      </c>
      <c r="D90" s="13" t="s">
        <v>19</v>
      </c>
      <c r="E90" s="15">
        <v>150.73</v>
      </c>
      <c r="F90" s="15">
        <v>3.0</v>
      </c>
      <c r="G90" s="15">
        <v>2.0</v>
      </c>
      <c r="H90" s="15">
        <v>3.0</v>
      </c>
      <c r="I90" s="16">
        <v>0.0</v>
      </c>
      <c r="J90" s="17">
        <f>IFERROR(__xludf.DUMMYFUNCTION("INDEX(GOOGLEFINANCE(A90, ""open"", $J$1, $J$1), 2, 2)"),159.76)</f>
        <v>159.76</v>
      </c>
      <c r="K90" s="17">
        <f>IFERROR(__xludf.DUMMYFUNCTION("INDEX(GOOGLEFINANCE(A90, ""close"", $K$1, $K$1), 2, 2)"),148.19)</f>
        <v>148.19</v>
      </c>
      <c r="L90" s="8">
        <f t="shared" si="1"/>
        <v>-7.24211317</v>
      </c>
      <c r="M90" s="18">
        <f t="shared" si="2"/>
        <v>-72.4211317</v>
      </c>
      <c r="N90" s="18" t="str">
        <f t="shared" si="3"/>
        <v>Put Spread</v>
      </c>
      <c r="O90" s="18" t="str">
        <f t="shared" si="4"/>
        <v>No</v>
      </c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>
      <c r="A91" s="13" t="s">
        <v>114</v>
      </c>
      <c r="B91" s="14" t="s">
        <v>18</v>
      </c>
      <c r="C91" s="15">
        <v>14.87</v>
      </c>
      <c r="D91" s="13" t="s">
        <v>19</v>
      </c>
      <c r="E91" s="15">
        <v>-10.09</v>
      </c>
      <c r="F91" s="15">
        <v>5.0</v>
      </c>
      <c r="G91" s="15">
        <v>4.0</v>
      </c>
      <c r="H91" s="15">
        <v>2.0</v>
      </c>
      <c r="I91" s="16">
        <v>0.0</v>
      </c>
      <c r="J91" s="17">
        <f>IFERROR(__xludf.DUMMYFUNCTION("INDEX(GOOGLEFINANCE(A91, ""open"", $J$1, $J$1), 2, 2)"),2.35)</f>
        <v>2.35</v>
      </c>
      <c r="K91" s="17">
        <f>IFERROR(__xludf.DUMMYFUNCTION("INDEX(GOOGLEFINANCE(A91, ""close"", $K$1, $K$1), 2, 2)"),2.18)</f>
        <v>2.18</v>
      </c>
      <c r="L91" s="20">
        <f t="shared" si="1"/>
        <v>-7.234042553</v>
      </c>
      <c r="M91" s="18">
        <f t="shared" si="2"/>
        <v>-72.34042553</v>
      </c>
      <c r="N91" s="18" t="str">
        <f t="shared" si="3"/>
        <v>Put Spread</v>
      </c>
      <c r="O91" s="18" t="str">
        <f t="shared" si="4"/>
        <v>Success</v>
      </c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>
      <c r="A92" s="13" t="s">
        <v>115</v>
      </c>
      <c r="B92" s="14" t="s">
        <v>18</v>
      </c>
      <c r="C92" s="15">
        <v>1.27</v>
      </c>
      <c r="D92" s="13" t="s">
        <v>19</v>
      </c>
      <c r="E92" s="15">
        <v>0.36</v>
      </c>
      <c r="F92" s="15">
        <v>5.0</v>
      </c>
      <c r="G92" s="15">
        <v>2.0</v>
      </c>
      <c r="H92" s="15">
        <v>3.0</v>
      </c>
      <c r="I92" s="16">
        <v>0.0</v>
      </c>
      <c r="J92" s="17">
        <f>IFERROR(__xludf.DUMMYFUNCTION("INDEX(GOOGLEFINANCE(A92, ""open"", $J$1, $J$1), 2, 2)"),0.83)</f>
        <v>0.83</v>
      </c>
      <c r="K92" s="17">
        <f>IFERROR(__xludf.DUMMYFUNCTION("INDEX(GOOGLEFINANCE(A92, ""close"", $K$1, $K$1), 2, 2)"),0.77)</f>
        <v>0.77</v>
      </c>
      <c r="L92" s="8">
        <f t="shared" si="1"/>
        <v>-7.228915663</v>
      </c>
      <c r="M92" s="18">
        <f t="shared" si="2"/>
        <v>-72.28915663</v>
      </c>
      <c r="N92" s="18" t="str">
        <f t="shared" si="3"/>
        <v>Put Spread</v>
      </c>
      <c r="O92" s="18" t="str">
        <f t="shared" si="4"/>
        <v>Success</v>
      </c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>
      <c r="A93" s="13" t="s">
        <v>116</v>
      </c>
      <c r="B93" s="14" t="s">
        <v>18</v>
      </c>
      <c r="C93" s="15">
        <v>9.25</v>
      </c>
      <c r="D93" s="13" t="s">
        <v>19</v>
      </c>
      <c r="E93" s="15">
        <v>7.89</v>
      </c>
      <c r="F93" s="15">
        <v>5.0</v>
      </c>
      <c r="G93" s="15">
        <v>1.0</v>
      </c>
      <c r="H93" s="15">
        <v>4.0</v>
      </c>
      <c r="I93" s="16">
        <v>0.0</v>
      </c>
      <c r="J93" s="17">
        <f>IFERROR(__xludf.DUMMYFUNCTION("INDEX(GOOGLEFINANCE(A93, ""open"", $J$1, $J$1), 2, 2)"),8.44)</f>
        <v>8.44</v>
      </c>
      <c r="K93" s="17">
        <f>IFERROR(__xludf.DUMMYFUNCTION("INDEX(GOOGLEFINANCE(A93, ""close"", $K$1, $K$1), 2, 2)"),7.83)</f>
        <v>7.83</v>
      </c>
      <c r="L93" s="8">
        <f t="shared" si="1"/>
        <v>-7.227488152</v>
      </c>
      <c r="M93" s="18">
        <f t="shared" si="2"/>
        <v>-72.27488152</v>
      </c>
      <c r="N93" s="18" t="str">
        <f t="shared" si="3"/>
        <v>Put Spread</v>
      </c>
      <c r="O93" s="18" t="str">
        <f t="shared" si="4"/>
        <v>No</v>
      </c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>
      <c r="A94" s="13" t="s">
        <v>117</v>
      </c>
      <c r="B94" s="14" t="s">
        <v>18</v>
      </c>
      <c r="C94" s="15">
        <v>86.33</v>
      </c>
      <c r="D94" s="13" t="s">
        <v>19</v>
      </c>
      <c r="E94" s="15">
        <v>78.03</v>
      </c>
      <c r="F94" s="15">
        <v>4.0</v>
      </c>
      <c r="G94" s="15">
        <v>0.0</v>
      </c>
      <c r="H94" s="15">
        <v>3.0</v>
      </c>
      <c r="I94" s="16">
        <v>0.647554612237694</v>
      </c>
      <c r="J94" s="17">
        <f>IFERROR(__xludf.DUMMYFUNCTION("INDEX(GOOGLEFINANCE(A94, ""open"", $J$1, $J$1), 2, 2)"),82.27)</f>
        <v>82.27</v>
      </c>
      <c r="K94" s="17">
        <f>IFERROR(__xludf.DUMMYFUNCTION("INDEX(GOOGLEFINANCE(A94, ""close"", $K$1, $K$1), 2, 2)"),76.33)</f>
        <v>76.33</v>
      </c>
      <c r="L94" s="8">
        <f t="shared" si="1"/>
        <v>-7.220128844</v>
      </c>
      <c r="M94" s="18">
        <f t="shared" si="2"/>
        <v>-72.20128844</v>
      </c>
      <c r="N94" s="18" t="str">
        <f t="shared" si="3"/>
        <v>Put Spread</v>
      </c>
      <c r="O94" s="18" t="str">
        <f t="shared" si="4"/>
        <v>No</v>
      </c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>
      <c r="A95" s="13" t="s">
        <v>118</v>
      </c>
      <c r="B95" s="14" t="s">
        <v>18</v>
      </c>
      <c r="C95" s="15">
        <v>125.85</v>
      </c>
      <c r="D95" s="13" t="s">
        <v>19</v>
      </c>
      <c r="E95" s="15">
        <v>111.05</v>
      </c>
      <c r="F95" s="15">
        <v>4.0</v>
      </c>
      <c r="G95" s="15">
        <v>2.0</v>
      </c>
      <c r="H95" s="15">
        <v>4.0</v>
      </c>
      <c r="I95" s="16">
        <v>0.0</v>
      </c>
      <c r="J95" s="17">
        <f>IFERROR(__xludf.DUMMYFUNCTION("INDEX(GOOGLEFINANCE(A95, ""open"", $J$1, $J$1), 2, 2)"),118.6)</f>
        <v>118.6</v>
      </c>
      <c r="K95" s="17">
        <f>IFERROR(__xludf.DUMMYFUNCTION("INDEX(GOOGLEFINANCE(A95, ""close"", $K$1, $K$1), 2, 2)"),110.06)</f>
        <v>110.06</v>
      </c>
      <c r="L95" s="8">
        <f t="shared" si="1"/>
        <v>-7.200674536</v>
      </c>
      <c r="M95" s="18">
        <f t="shared" si="2"/>
        <v>-72.00674536</v>
      </c>
      <c r="N95" s="18" t="str">
        <f t="shared" si="3"/>
        <v>Put Spread</v>
      </c>
      <c r="O95" s="18" t="str">
        <f t="shared" si="4"/>
        <v>No</v>
      </c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>
      <c r="A96" s="13" t="s">
        <v>119</v>
      </c>
      <c r="B96" s="14" t="s">
        <v>18</v>
      </c>
      <c r="C96" s="15">
        <v>16.03</v>
      </c>
      <c r="D96" s="13" t="s">
        <v>19</v>
      </c>
      <c r="E96" s="15">
        <v>13.61</v>
      </c>
      <c r="F96" s="15">
        <v>2.0</v>
      </c>
      <c r="G96" s="15">
        <v>2.0</v>
      </c>
      <c r="H96" s="15">
        <v>2.0</v>
      </c>
      <c r="I96" s="16">
        <v>-2.8691755</v>
      </c>
      <c r="J96" s="17">
        <f>IFERROR(__xludf.DUMMYFUNCTION("INDEX(GOOGLEFINANCE(A96, ""open"", $J$1, $J$1), 2, 2)"),15.0)</f>
        <v>15</v>
      </c>
      <c r="K96" s="17">
        <f>IFERROR(__xludf.DUMMYFUNCTION("INDEX(GOOGLEFINANCE(A96, ""close"", $K$1, $K$1), 2, 2)"),13.93)</f>
        <v>13.93</v>
      </c>
      <c r="L96" s="8">
        <f t="shared" si="1"/>
        <v>-7.133333333</v>
      </c>
      <c r="M96" s="18">
        <f t="shared" si="2"/>
        <v>-71.33333333</v>
      </c>
      <c r="N96" s="18" t="str">
        <f t="shared" si="3"/>
        <v>Put Spread</v>
      </c>
      <c r="O96" s="18" t="str">
        <f t="shared" si="4"/>
        <v>Success</v>
      </c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>
      <c r="A97" s="13" t="s">
        <v>120</v>
      </c>
      <c r="B97" s="14" t="s">
        <v>18</v>
      </c>
      <c r="C97" s="15">
        <v>40.35</v>
      </c>
      <c r="D97" s="13" t="s">
        <v>19</v>
      </c>
      <c r="E97" s="15">
        <v>28.49</v>
      </c>
      <c r="F97" s="15">
        <v>5.0</v>
      </c>
      <c r="G97" s="15">
        <v>4.0</v>
      </c>
      <c r="H97" s="15">
        <v>4.0</v>
      </c>
      <c r="I97" s="16">
        <v>0.0</v>
      </c>
      <c r="J97" s="17">
        <f>IFERROR(__xludf.DUMMYFUNCTION("INDEX(GOOGLEFINANCE(A97, ""open"", $J$1, $J$1), 2, 2)"),35.15)</f>
        <v>35.15</v>
      </c>
      <c r="K97" s="17">
        <f>IFERROR(__xludf.DUMMYFUNCTION("INDEX(GOOGLEFINANCE(A97, ""close"", $K$1, $K$1), 2, 2)"),32.68)</f>
        <v>32.68</v>
      </c>
      <c r="L97" s="8">
        <f t="shared" si="1"/>
        <v>-7.027027027</v>
      </c>
      <c r="M97" s="18">
        <f t="shared" si="2"/>
        <v>-70.27027027</v>
      </c>
      <c r="N97" s="18" t="str">
        <f t="shared" si="3"/>
        <v>Put Spread</v>
      </c>
      <c r="O97" s="18" t="str">
        <f t="shared" si="4"/>
        <v>Success</v>
      </c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>
      <c r="A98" s="13" t="s">
        <v>121</v>
      </c>
      <c r="B98" s="14" t="s">
        <v>18</v>
      </c>
      <c r="C98" s="15">
        <v>85.84</v>
      </c>
      <c r="D98" s="13" t="s">
        <v>19</v>
      </c>
      <c r="E98" s="15">
        <v>78.54</v>
      </c>
      <c r="F98" s="15">
        <v>5.0</v>
      </c>
      <c r="G98" s="15">
        <v>2.0</v>
      </c>
      <c r="H98" s="15">
        <v>4.0</v>
      </c>
      <c r="I98" s="16">
        <v>0.0</v>
      </c>
      <c r="J98" s="17">
        <f>IFERROR(__xludf.DUMMYFUNCTION("INDEX(GOOGLEFINANCE(A98, ""open"", $J$1, $J$1), 2, 2)"),81.74)</f>
        <v>81.74</v>
      </c>
      <c r="K98" s="17">
        <f>IFERROR(__xludf.DUMMYFUNCTION("INDEX(GOOGLEFINANCE(A98, ""close"", $K$1, $K$1), 2, 2)"),76.01)</f>
        <v>76.01</v>
      </c>
      <c r="L98" s="8">
        <f t="shared" si="1"/>
        <v>-7.010031808</v>
      </c>
      <c r="M98" s="18">
        <f t="shared" si="2"/>
        <v>-70.10031808</v>
      </c>
      <c r="N98" s="18" t="str">
        <f t="shared" si="3"/>
        <v>Put Spread</v>
      </c>
      <c r="O98" s="18" t="str">
        <f t="shared" si="4"/>
        <v>No</v>
      </c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>
      <c r="A99" s="13" t="s">
        <v>122</v>
      </c>
      <c r="B99" s="14" t="s">
        <v>18</v>
      </c>
      <c r="C99" s="15">
        <v>57.42</v>
      </c>
      <c r="D99" s="13" t="s">
        <v>19</v>
      </c>
      <c r="E99" s="15">
        <v>52.3</v>
      </c>
      <c r="F99" s="15">
        <v>3.0</v>
      </c>
      <c r="G99" s="15">
        <v>0.0</v>
      </c>
      <c r="H99" s="15">
        <v>3.0</v>
      </c>
      <c r="I99" s="16">
        <v>0.0</v>
      </c>
      <c r="J99" s="17">
        <f>IFERROR(__xludf.DUMMYFUNCTION("INDEX(GOOGLEFINANCE(A99, ""open"", $J$1, $J$1), 2, 2)"),54.99)</f>
        <v>54.99</v>
      </c>
      <c r="K99" s="17">
        <f>IFERROR(__xludf.DUMMYFUNCTION("INDEX(GOOGLEFINANCE(A99, ""close"", $K$1, $K$1), 2, 2)"),51.15)</f>
        <v>51.15</v>
      </c>
      <c r="L99" s="8">
        <f t="shared" si="1"/>
        <v>-6.983087834</v>
      </c>
      <c r="M99" s="18">
        <f t="shared" si="2"/>
        <v>-69.83087834</v>
      </c>
      <c r="N99" s="18" t="str">
        <f t="shared" si="3"/>
        <v>Put Spread</v>
      </c>
      <c r="O99" s="18" t="str">
        <f t="shared" si="4"/>
        <v>No</v>
      </c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>
      <c r="A100" s="13" t="s">
        <v>123</v>
      </c>
      <c r="B100" s="14" t="s">
        <v>18</v>
      </c>
      <c r="C100" s="15">
        <v>69.44</v>
      </c>
      <c r="D100" s="13" t="s">
        <v>19</v>
      </c>
      <c r="E100" s="15">
        <v>65.3</v>
      </c>
      <c r="F100" s="15">
        <v>5.0</v>
      </c>
      <c r="G100" s="15">
        <v>3.0</v>
      </c>
      <c r="H100" s="15">
        <v>1.0</v>
      </c>
      <c r="I100" s="16">
        <v>0.0</v>
      </c>
      <c r="J100" s="17">
        <f>IFERROR(__xludf.DUMMYFUNCTION("INDEX(GOOGLEFINANCE(A100, ""open"", $J$1, $J$1), 2, 2)"),67.45)</f>
        <v>67.45</v>
      </c>
      <c r="K100" s="17">
        <f>IFERROR(__xludf.DUMMYFUNCTION("INDEX(GOOGLEFINANCE(A100, ""close"", $K$1, $K$1), 2, 2)"),62.75)</f>
        <v>62.75</v>
      </c>
      <c r="L100" s="20">
        <f t="shared" si="1"/>
        <v>-6.968124537</v>
      </c>
      <c r="M100" s="18">
        <f t="shared" si="2"/>
        <v>-69.68124537</v>
      </c>
      <c r="N100" s="18" t="str">
        <f t="shared" si="3"/>
        <v>Put Spread</v>
      </c>
      <c r="O100" s="18" t="str">
        <f t="shared" si="4"/>
        <v>No</v>
      </c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>
      <c r="A101" s="13" t="s">
        <v>124</v>
      </c>
      <c r="B101" s="14" t="s">
        <v>18</v>
      </c>
      <c r="C101" s="15">
        <v>283.33</v>
      </c>
      <c r="D101" s="13" t="s">
        <v>19</v>
      </c>
      <c r="E101" s="15">
        <v>254.89</v>
      </c>
      <c r="F101" s="15">
        <v>4.0</v>
      </c>
      <c r="G101" s="15">
        <v>2.0</v>
      </c>
      <c r="H101" s="15">
        <v>4.0</v>
      </c>
      <c r="I101" s="16">
        <v>0.0</v>
      </c>
      <c r="J101" s="17">
        <f>IFERROR(__xludf.DUMMYFUNCTION("INDEX(GOOGLEFINANCE(A101, ""open"", $J$1, $J$1), 2, 2)"),269.5)</f>
        <v>269.5</v>
      </c>
      <c r="K101" s="17">
        <f>IFERROR(__xludf.DUMMYFUNCTION("INDEX(GOOGLEFINANCE(A101, ""close"", $K$1, $K$1), 2, 2)"),250.74)</f>
        <v>250.74</v>
      </c>
      <c r="L101" s="8">
        <f t="shared" si="1"/>
        <v>-6.961038961</v>
      </c>
      <c r="M101" s="18">
        <f t="shared" si="2"/>
        <v>-69.61038961</v>
      </c>
      <c r="N101" s="18" t="str">
        <f t="shared" si="3"/>
        <v>Put Spread</v>
      </c>
      <c r="O101" s="18" t="str">
        <f t="shared" si="4"/>
        <v>No</v>
      </c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>
      <c r="A102" s="13" t="s">
        <v>125</v>
      </c>
      <c r="B102" s="14" t="s">
        <v>18</v>
      </c>
      <c r="C102" s="15">
        <v>65.89</v>
      </c>
      <c r="D102" s="13" t="s">
        <v>19</v>
      </c>
      <c r="E102" s="15">
        <v>55.65</v>
      </c>
      <c r="F102" s="15">
        <v>3.0</v>
      </c>
      <c r="G102" s="15">
        <v>2.0</v>
      </c>
      <c r="H102" s="15">
        <v>4.0</v>
      </c>
      <c r="I102" s="16">
        <v>0.0</v>
      </c>
      <c r="J102" s="17">
        <f>IFERROR(__xludf.DUMMYFUNCTION("INDEX(GOOGLEFINANCE(A102, ""open"", $J$1, $J$1), 2, 2)"),61.6)</f>
        <v>61.6</v>
      </c>
      <c r="K102" s="17">
        <f>IFERROR(__xludf.DUMMYFUNCTION("INDEX(GOOGLEFINANCE(A102, ""close"", $K$1, $K$1), 2, 2)"),57.33)</f>
        <v>57.33</v>
      </c>
      <c r="L102" s="20">
        <f t="shared" si="1"/>
        <v>-6.931818182</v>
      </c>
      <c r="M102" s="18">
        <f t="shared" si="2"/>
        <v>-69.31818182</v>
      </c>
      <c r="N102" s="18" t="str">
        <f t="shared" si="3"/>
        <v>Put Spread</v>
      </c>
      <c r="O102" s="18" t="str">
        <f t="shared" si="4"/>
        <v>Success</v>
      </c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</row>
    <row r="103">
      <c r="A103" s="13" t="s">
        <v>126</v>
      </c>
      <c r="B103" s="14" t="s">
        <v>18</v>
      </c>
      <c r="C103" s="15">
        <v>3.28</v>
      </c>
      <c r="D103" s="13" t="s">
        <v>19</v>
      </c>
      <c r="E103" s="15">
        <v>2.72</v>
      </c>
      <c r="F103" s="15">
        <v>4.0</v>
      </c>
      <c r="G103" s="15">
        <v>2.0</v>
      </c>
      <c r="H103" s="15">
        <v>4.0</v>
      </c>
      <c r="I103" s="16">
        <v>0.0</v>
      </c>
      <c r="J103" s="17">
        <f>IFERROR(__xludf.DUMMYFUNCTION("INDEX(GOOGLEFINANCE(A103, ""open"", $J$1, $J$1), 2, 2)"),3.03)</f>
        <v>3.03</v>
      </c>
      <c r="K103" s="17">
        <f>IFERROR(__xludf.DUMMYFUNCTION("INDEX(GOOGLEFINANCE(A103, ""close"", $K$1, $K$1), 2, 2)"),2.82)</f>
        <v>2.82</v>
      </c>
      <c r="L103" s="8">
        <f t="shared" si="1"/>
        <v>-6.930693069</v>
      </c>
      <c r="M103" s="18">
        <f t="shared" si="2"/>
        <v>-69.30693069</v>
      </c>
      <c r="N103" s="18" t="str">
        <f t="shared" si="3"/>
        <v>Put Spread</v>
      </c>
      <c r="O103" s="18" t="str">
        <f t="shared" si="4"/>
        <v>Success</v>
      </c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>
      <c r="A104" s="13" t="s">
        <v>127</v>
      </c>
      <c r="B104" s="14" t="s">
        <v>18</v>
      </c>
      <c r="C104" s="15">
        <v>7.55</v>
      </c>
      <c r="D104" s="13" t="s">
        <v>19</v>
      </c>
      <c r="E104" s="15">
        <v>6.05</v>
      </c>
      <c r="F104" s="15">
        <v>5.0</v>
      </c>
      <c r="G104" s="15">
        <v>4.0</v>
      </c>
      <c r="H104" s="15">
        <v>4.0</v>
      </c>
      <c r="I104" s="16">
        <v>5.0</v>
      </c>
      <c r="J104" s="17">
        <f>IFERROR(__xludf.DUMMYFUNCTION("INDEX(GOOGLEFINANCE(A104, ""open"", $J$1, $J$1), 2, 2)"),6.93)</f>
        <v>6.93</v>
      </c>
      <c r="K104" s="17">
        <f>IFERROR(__xludf.DUMMYFUNCTION("INDEX(GOOGLEFINANCE(A104, ""close"", $K$1, $K$1), 2, 2)"),6.45)</f>
        <v>6.45</v>
      </c>
      <c r="L104" s="8">
        <f t="shared" si="1"/>
        <v>-6.926406926</v>
      </c>
      <c r="M104" s="18">
        <f t="shared" si="2"/>
        <v>-69.26406926</v>
      </c>
      <c r="N104" s="18" t="str">
        <f t="shared" si="3"/>
        <v>Put Spread</v>
      </c>
      <c r="O104" s="18" t="str">
        <f t="shared" si="4"/>
        <v>Success</v>
      </c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>
      <c r="A105" s="13" t="s">
        <v>128</v>
      </c>
      <c r="B105" s="14" t="s">
        <v>18</v>
      </c>
      <c r="C105" s="15">
        <v>40.42</v>
      </c>
      <c r="D105" s="13" t="s">
        <v>19</v>
      </c>
      <c r="E105" s="15">
        <v>36.46</v>
      </c>
      <c r="F105" s="15">
        <v>5.0</v>
      </c>
      <c r="G105" s="15">
        <v>2.0</v>
      </c>
      <c r="H105" s="15">
        <v>4.0</v>
      </c>
      <c r="I105" s="16">
        <v>0.0</v>
      </c>
      <c r="J105" s="17">
        <f>IFERROR(__xludf.DUMMYFUNCTION("INDEX(GOOGLEFINANCE(A105, ""open"", $J$1, $J$1), 2, 2)"),38.4)</f>
        <v>38.4</v>
      </c>
      <c r="K105" s="17">
        <f>IFERROR(__xludf.DUMMYFUNCTION("INDEX(GOOGLEFINANCE(A105, ""close"", $K$1, $K$1), 2, 2)"),35.75)</f>
        <v>35.75</v>
      </c>
      <c r="L105" s="8">
        <f t="shared" si="1"/>
        <v>-6.901041667</v>
      </c>
      <c r="M105" s="18">
        <f t="shared" si="2"/>
        <v>-69.01041667</v>
      </c>
      <c r="N105" s="18" t="str">
        <f t="shared" si="3"/>
        <v>Put Spread</v>
      </c>
      <c r="O105" s="18" t="str">
        <f t="shared" si="4"/>
        <v>No</v>
      </c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>
      <c r="A106" s="13" t="s">
        <v>129</v>
      </c>
      <c r="B106" s="14" t="s">
        <v>18</v>
      </c>
      <c r="C106" s="15">
        <v>94.31</v>
      </c>
      <c r="D106" s="13" t="s">
        <v>19</v>
      </c>
      <c r="E106" s="15">
        <v>72.75</v>
      </c>
      <c r="F106" s="15">
        <v>4.0</v>
      </c>
      <c r="G106" s="15">
        <v>3.0</v>
      </c>
      <c r="H106" s="15">
        <v>5.0</v>
      </c>
      <c r="I106" s="16">
        <v>0.0</v>
      </c>
      <c r="J106" s="17">
        <f>IFERROR(__xludf.DUMMYFUNCTION("INDEX(GOOGLEFINANCE(A106, ""open"", $J$1, $J$1), 2, 2)"),85.0)</f>
        <v>85</v>
      </c>
      <c r="K106" s="17">
        <f>IFERROR(__xludf.DUMMYFUNCTION("INDEX(GOOGLEFINANCE(A106, ""close"", $K$1, $K$1), 2, 2)"),79.22)</f>
        <v>79.22</v>
      </c>
      <c r="L106" s="8">
        <f t="shared" si="1"/>
        <v>-6.8</v>
      </c>
      <c r="M106" s="18">
        <f t="shared" si="2"/>
        <v>-68</v>
      </c>
      <c r="N106" s="18" t="str">
        <f t="shared" si="3"/>
        <v>Put Spread</v>
      </c>
      <c r="O106" s="18" t="str">
        <f t="shared" si="4"/>
        <v>Success</v>
      </c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>
      <c r="A107" s="13" t="s">
        <v>130</v>
      </c>
      <c r="B107" s="14" t="s">
        <v>18</v>
      </c>
      <c r="C107" s="15">
        <v>72.01</v>
      </c>
      <c r="D107" s="13" t="s">
        <v>19</v>
      </c>
      <c r="E107" s="15">
        <v>59.03</v>
      </c>
      <c r="F107" s="15">
        <v>2.0</v>
      </c>
      <c r="G107" s="15">
        <v>1.0</v>
      </c>
      <c r="H107" s="15">
        <v>3.0</v>
      </c>
      <c r="I107" s="16">
        <v>0.0</v>
      </c>
      <c r="J107" s="17">
        <f>IFERROR(__xludf.DUMMYFUNCTION("INDEX(GOOGLEFINANCE(A107, ""open"", $J$1, $J$1), 2, 2)"),65.99)</f>
        <v>65.99</v>
      </c>
      <c r="K107" s="17">
        <f>IFERROR(__xludf.DUMMYFUNCTION("INDEX(GOOGLEFINANCE(A107, ""close"", $K$1, $K$1), 2, 2)"),61.51)</f>
        <v>61.51</v>
      </c>
      <c r="L107" s="8">
        <f t="shared" si="1"/>
        <v>-6.78890741</v>
      </c>
      <c r="M107" s="18">
        <f t="shared" si="2"/>
        <v>-67.8890741</v>
      </c>
      <c r="N107" s="18" t="str">
        <f t="shared" si="3"/>
        <v>Put Spread</v>
      </c>
      <c r="O107" s="18" t="str">
        <f t="shared" si="4"/>
        <v>Success</v>
      </c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>
      <c r="A108" s="13" t="s">
        <v>131</v>
      </c>
      <c r="B108" s="14" t="s">
        <v>18</v>
      </c>
      <c r="C108" s="15">
        <v>234.69</v>
      </c>
      <c r="D108" s="13" t="s">
        <v>19</v>
      </c>
      <c r="E108" s="15">
        <v>204.33</v>
      </c>
      <c r="F108" s="15">
        <v>3.0</v>
      </c>
      <c r="G108" s="15">
        <v>3.0</v>
      </c>
      <c r="H108" s="15">
        <v>4.0</v>
      </c>
      <c r="I108" s="16">
        <v>0.0</v>
      </c>
      <c r="J108" s="17">
        <f>IFERROR(__xludf.DUMMYFUNCTION("INDEX(GOOGLEFINANCE(A108, ""open"", $J$1, $J$1), 2, 2)"),219.93)</f>
        <v>219.93</v>
      </c>
      <c r="K108" s="17">
        <f>IFERROR(__xludf.DUMMYFUNCTION("INDEX(GOOGLEFINANCE(A108, ""close"", $K$1, $K$1), 2, 2)"),205.02)</f>
        <v>205.02</v>
      </c>
      <c r="L108" s="8">
        <f t="shared" si="1"/>
        <v>-6.779429819</v>
      </c>
      <c r="M108" s="18">
        <f t="shared" si="2"/>
        <v>-67.79429819</v>
      </c>
      <c r="N108" s="18" t="str">
        <f t="shared" si="3"/>
        <v>Put Spread</v>
      </c>
      <c r="O108" s="18" t="str">
        <f t="shared" si="4"/>
        <v>Success</v>
      </c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>
      <c r="A109" s="13" t="s">
        <v>132</v>
      </c>
      <c r="B109" s="14" t="s">
        <v>18</v>
      </c>
      <c r="C109" s="15">
        <v>110.19</v>
      </c>
      <c r="D109" s="13" t="s">
        <v>19</v>
      </c>
      <c r="E109" s="15">
        <v>95.01</v>
      </c>
      <c r="F109" s="15">
        <v>3.0</v>
      </c>
      <c r="G109" s="15">
        <v>1.0</v>
      </c>
      <c r="H109" s="15">
        <v>4.0</v>
      </c>
      <c r="I109" s="16">
        <v>-1.4490882</v>
      </c>
      <c r="J109" s="17">
        <f>IFERROR(__xludf.DUMMYFUNCTION("INDEX(GOOGLEFINANCE(A109, ""open"", $J$1, $J$1), 2, 2)"),103.57)</f>
        <v>103.57</v>
      </c>
      <c r="K109" s="17">
        <f>IFERROR(__xludf.DUMMYFUNCTION("INDEX(GOOGLEFINANCE(A109, ""close"", $K$1, $K$1), 2, 2)"),96.59)</f>
        <v>96.59</v>
      </c>
      <c r="L109" s="8">
        <f t="shared" si="1"/>
        <v>-6.739403302</v>
      </c>
      <c r="M109" s="18">
        <f t="shared" si="2"/>
        <v>-67.39403302</v>
      </c>
      <c r="N109" s="18" t="str">
        <f t="shared" si="3"/>
        <v>Put Spread</v>
      </c>
      <c r="O109" s="18" t="str">
        <f t="shared" si="4"/>
        <v>Success</v>
      </c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>
      <c r="A110" s="13" t="s">
        <v>133</v>
      </c>
      <c r="B110" s="14" t="s">
        <v>18</v>
      </c>
      <c r="C110" s="15">
        <v>14.01</v>
      </c>
      <c r="D110" s="13" t="s">
        <v>19</v>
      </c>
      <c r="E110" s="15">
        <v>12.15</v>
      </c>
      <c r="F110" s="15">
        <v>5.0</v>
      </c>
      <c r="G110" s="15">
        <v>2.0</v>
      </c>
      <c r="H110" s="15">
        <v>4.0</v>
      </c>
      <c r="I110" s="16">
        <v>0.0</v>
      </c>
      <c r="J110" s="17">
        <f>IFERROR(__xludf.DUMMYFUNCTION("INDEX(GOOGLEFINANCE(A110, ""open"", $J$1, $J$1), 2, 2)"),13.25)</f>
        <v>13.25</v>
      </c>
      <c r="K110" s="17">
        <f>IFERROR(__xludf.DUMMYFUNCTION("INDEX(GOOGLEFINANCE(A110, ""close"", $K$1, $K$1), 2, 2)"),12.36)</f>
        <v>12.36</v>
      </c>
      <c r="L110" s="20">
        <f t="shared" si="1"/>
        <v>-6.716981132</v>
      </c>
      <c r="M110" s="18">
        <f t="shared" si="2"/>
        <v>-67.16981132</v>
      </c>
      <c r="N110" s="18" t="str">
        <f t="shared" si="3"/>
        <v>Put Spread</v>
      </c>
      <c r="O110" s="18" t="str">
        <f t="shared" si="4"/>
        <v>Success</v>
      </c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>
      <c r="A111" s="13" t="s">
        <v>134</v>
      </c>
      <c r="B111" s="14" t="s">
        <v>18</v>
      </c>
      <c r="C111" s="15">
        <v>3.54</v>
      </c>
      <c r="D111" s="13" t="s">
        <v>19</v>
      </c>
      <c r="E111" s="15">
        <v>3.02</v>
      </c>
      <c r="F111" s="15">
        <v>4.0</v>
      </c>
      <c r="G111" s="15">
        <v>4.0</v>
      </c>
      <c r="H111" s="15">
        <v>4.0</v>
      </c>
      <c r="I111" s="16">
        <v>0.0</v>
      </c>
      <c r="J111" s="17">
        <f>IFERROR(__xludf.DUMMYFUNCTION("INDEX(GOOGLEFINANCE(A111, ""open"", $J$1, $J$1), 2, 2)"),3.3)</f>
        <v>3.3</v>
      </c>
      <c r="K111" s="17">
        <f>IFERROR(__xludf.DUMMYFUNCTION("INDEX(GOOGLEFINANCE(A111, ""close"", $K$1, $K$1), 2, 2)"),3.08)</f>
        <v>3.08</v>
      </c>
      <c r="L111" s="8">
        <f t="shared" si="1"/>
        <v>-6.666666667</v>
      </c>
      <c r="M111" s="18">
        <f t="shared" si="2"/>
        <v>-66.66666667</v>
      </c>
      <c r="N111" s="18" t="str">
        <f t="shared" si="3"/>
        <v>Put Spread</v>
      </c>
      <c r="O111" s="18" t="str">
        <f t="shared" si="4"/>
        <v>Success</v>
      </c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>
      <c r="A112" s="13" t="s">
        <v>135</v>
      </c>
      <c r="B112" s="14" t="s">
        <v>18</v>
      </c>
      <c r="C112" s="15">
        <v>35.41</v>
      </c>
      <c r="D112" s="13" t="s">
        <v>19</v>
      </c>
      <c r="E112" s="15">
        <v>31.89</v>
      </c>
      <c r="F112" s="15">
        <v>5.0</v>
      </c>
      <c r="G112" s="15">
        <v>4.0</v>
      </c>
      <c r="H112" s="15">
        <v>4.0</v>
      </c>
      <c r="I112" s="16">
        <v>0.459468891564515</v>
      </c>
      <c r="J112" s="17">
        <f>IFERROR(__xludf.DUMMYFUNCTION("INDEX(GOOGLEFINANCE(A112, ""open"", $J$1, $J$1), 2, 2)"),33.14)</f>
        <v>33.14</v>
      </c>
      <c r="K112" s="17">
        <f>IFERROR(__xludf.DUMMYFUNCTION("INDEX(GOOGLEFINANCE(A112, ""close"", $K$1, $K$1), 2, 2)"),30.95)</f>
        <v>30.95</v>
      </c>
      <c r="L112" s="8">
        <f t="shared" si="1"/>
        <v>-6.608328304</v>
      </c>
      <c r="M112" s="18">
        <f t="shared" si="2"/>
        <v>-66.08328304</v>
      </c>
      <c r="N112" s="18" t="str">
        <f t="shared" si="3"/>
        <v>Put Spread</v>
      </c>
      <c r="O112" s="18" t="str">
        <f t="shared" si="4"/>
        <v>No</v>
      </c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>
      <c r="A113" s="13" t="s">
        <v>136</v>
      </c>
      <c r="B113" s="14" t="s">
        <v>18</v>
      </c>
      <c r="C113" s="15">
        <v>20.33</v>
      </c>
      <c r="D113" s="13" t="s">
        <v>19</v>
      </c>
      <c r="E113" s="15">
        <v>15.87</v>
      </c>
      <c r="F113" s="15">
        <v>3.0</v>
      </c>
      <c r="G113" s="15">
        <v>2.0</v>
      </c>
      <c r="H113" s="15">
        <v>5.0</v>
      </c>
      <c r="I113" s="16">
        <v>0.0</v>
      </c>
      <c r="J113" s="17">
        <f>IFERROR(__xludf.DUMMYFUNCTION("INDEX(GOOGLEFINANCE(A113, ""open"", $J$1, $J$1), 2, 2)"),18.37)</f>
        <v>18.37</v>
      </c>
      <c r="K113" s="17">
        <f>IFERROR(__xludf.DUMMYFUNCTION("INDEX(GOOGLEFINANCE(A113, ""close"", $K$1, $K$1), 2, 2)"),17.16)</f>
        <v>17.16</v>
      </c>
      <c r="L113" s="8">
        <f t="shared" si="1"/>
        <v>-6.586826347</v>
      </c>
      <c r="M113" s="18">
        <f t="shared" si="2"/>
        <v>-65.86826347</v>
      </c>
      <c r="N113" s="18" t="str">
        <f t="shared" si="3"/>
        <v>Put Spread</v>
      </c>
      <c r="O113" s="18" t="str">
        <f t="shared" si="4"/>
        <v>Success</v>
      </c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>
      <c r="A114" s="13" t="s">
        <v>137</v>
      </c>
      <c r="B114" s="14" t="s">
        <v>18</v>
      </c>
      <c r="C114" s="15">
        <v>53.21</v>
      </c>
      <c r="D114" s="13" t="s">
        <v>19</v>
      </c>
      <c r="E114" s="15">
        <v>41.65</v>
      </c>
      <c r="F114" s="15">
        <v>3.0</v>
      </c>
      <c r="G114" s="15">
        <v>3.0</v>
      </c>
      <c r="H114" s="15">
        <v>5.0</v>
      </c>
      <c r="I114" s="16">
        <v>0.0</v>
      </c>
      <c r="J114" s="17">
        <f>IFERROR(__xludf.DUMMYFUNCTION("INDEX(GOOGLEFINANCE(A114, ""open"", $J$1, $J$1), 2, 2)"),47.96)</f>
        <v>47.96</v>
      </c>
      <c r="K114" s="17">
        <f>IFERROR(__xludf.DUMMYFUNCTION("INDEX(GOOGLEFINANCE(A114, ""close"", $K$1, $K$1), 2, 2)"),44.81)</f>
        <v>44.81</v>
      </c>
      <c r="L114" s="8">
        <f t="shared" si="1"/>
        <v>-6.567973311</v>
      </c>
      <c r="M114" s="18">
        <f t="shared" si="2"/>
        <v>-65.67973311</v>
      </c>
      <c r="N114" s="18" t="str">
        <f t="shared" si="3"/>
        <v>Put Spread</v>
      </c>
      <c r="O114" s="18" t="str">
        <f t="shared" si="4"/>
        <v>Success</v>
      </c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</row>
    <row r="115">
      <c r="A115" s="13" t="s">
        <v>138</v>
      </c>
      <c r="B115" s="14" t="s">
        <v>18</v>
      </c>
      <c r="C115" s="15">
        <v>159.1</v>
      </c>
      <c r="D115" s="13" t="s">
        <v>19</v>
      </c>
      <c r="E115" s="15">
        <v>145.22</v>
      </c>
      <c r="F115" s="15">
        <v>5.0</v>
      </c>
      <c r="G115" s="15">
        <v>2.0</v>
      </c>
      <c r="H115" s="15">
        <v>4.0</v>
      </c>
      <c r="I115" s="16">
        <v>0.0</v>
      </c>
      <c r="J115" s="17">
        <f>IFERROR(__xludf.DUMMYFUNCTION("INDEX(GOOGLEFINANCE(A115, ""open"", $J$1, $J$1), 2, 2)"),152.37)</f>
        <v>152.37</v>
      </c>
      <c r="K115" s="17">
        <f>IFERROR(__xludf.DUMMYFUNCTION("INDEX(GOOGLEFINANCE(A115, ""close"", $K$1, $K$1), 2, 2)"),142.55)</f>
        <v>142.55</v>
      </c>
      <c r="L115" s="8">
        <f t="shared" si="1"/>
        <v>-6.444838223</v>
      </c>
      <c r="M115" s="18">
        <f t="shared" si="2"/>
        <v>-64.44838223</v>
      </c>
      <c r="N115" s="18" t="str">
        <f t="shared" si="3"/>
        <v>Put Spread</v>
      </c>
      <c r="O115" s="18" t="str">
        <f t="shared" si="4"/>
        <v>No</v>
      </c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>
      <c r="A116" s="13" t="s">
        <v>139</v>
      </c>
      <c r="B116" s="14" t="s">
        <v>18</v>
      </c>
      <c r="C116" s="15">
        <v>61.7</v>
      </c>
      <c r="D116" s="13" t="s">
        <v>19</v>
      </c>
      <c r="E116" s="15">
        <v>53.48</v>
      </c>
      <c r="F116" s="15">
        <v>5.0</v>
      </c>
      <c r="G116" s="15">
        <v>2.0</v>
      </c>
      <c r="H116" s="15">
        <v>3.0</v>
      </c>
      <c r="I116" s="16">
        <v>-1.6741211</v>
      </c>
      <c r="J116" s="17">
        <f>IFERROR(__xludf.DUMMYFUNCTION("INDEX(GOOGLEFINANCE(A116, ""open"", $J$1, $J$1), 2, 2)"),58.26)</f>
        <v>58.26</v>
      </c>
      <c r="K116" s="17">
        <f>IFERROR(__xludf.DUMMYFUNCTION("INDEX(GOOGLEFINANCE(A116, ""close"", $K$1, $K$1), 2, 2)"),54.51)</f>
        <v>54.51</v>
      </c>
      <c r="L116" s="20">
        <f t="shared" si="1"/>
        <v>-6.436663234</v>
      </c>
      <c r="M116" s="18">
        <f t="shared" si="2"/>
        <v>-64.36663234</v>
      </c>
      <c r="N116" s="18" t="str">
        <f t="shared" si="3"/>
        <v>Put Spread</v>
      </c>
      <c r="O116" s="18" t="str">
        <f t="shared" si="4"/>
        <v>Success</v>
      </c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</row>
    <row r="117">
      <c r="A117" s="13" t="s">
        <v>140</v>
      </c>
      <c r="B117" s="14" t="s">
        <v>18</v>
      </c>
      <c r="C117" s="15">
        <v>155.09</v>
      </c>
      <c r="D117" s="13" t="s">
        <v>19</v>
      </c>
      <c r="E117" s="15">
        <v>143.53</v>
      </c>
      <c r="F117" s="15">
        <v>5.0</v>
      </c>
      <c r="G117" s="15">
        <v>0.0</v>
      </c>
      <c r="H117" s="15">
        <v>3.0</v>
      </c>
      <c r="I117" s="16">
        <v>-0.5113207</v>
      </c>
      <c r="J117" s="17">
        <f>IFERROR(__xludf.DUMMYFUNCTION("INDEX(GOOGLEFINANCE(A117, ""open"", $J$1, $J$1), 2, 2)"),149.16)</f>
        <v>149.16</v>
      </c>
      <c r="K117" s="17">
        <f>IFERROR(__xludf.DUMMYFUNCTION("INDEX(GOOGLEFINANCE(A117, ""close"", $K$1, $K$1), 2, 2)"),139.56)</f>
        <v>139.56</v>
      </c>
      <c r="L117" s="8">
        <f t="shared" si="1"/>
        <v>-6.436041834</v>
      </c>
      <c r="M117" s="18">
        <f t="shared" si="2"/>
        <v>-64.36041834</v>
      </c>
      <c r="N117" s="18" t="str">
        <f t="shared" si="3"/>
        <v>Put Spread</v>
      </c>
      <c r="O117" s="18" t="str">
        <f t="shared" si="4"/>
        <v>No</v>
      </c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>
      <c r="A118" s="13" t="s">
        <v>141</v>
      </c>
      <c r="B118" s="14" t="s">
        <v>18</v>
      </c>
      <c r="C118" s="15">
        <v>191.91</v>
      </c>
      <c r="D118" s="13" t="s">
        <v>19</v>
      </c>
      <c r="E118" s="15">
        <v>181.09</v>
      </c>
      <c r="F118" s="15">
        <v>5.0</v>
      </c>
      <c r="G118" s="15">
        <v>1.0</v>
      </c>
      <c r="H118" s="15">
        <v>2.0</v>
      </c>
      <c r="I118" s="16">
        <v>-0.4340701</v>
      </c>
      <c r="J118" s="17">
        <f>IFERROR(__xludf.DUMMYFUNCTION("INDEX(GOOGLEFINANCE(A118, ""open"", $J$1, $J$1), 2, 2)"),187.0)</f>
        <v>187</v>
      </c>
      <c r="K118" s="17">
        <f>IFERROR(__xludf.DUMMYFUNCTION("INDEX(GOOGLEFINANCE(A118, ""close"", $K$1, $K$1), 2, 2)"),174.97)</f>
        <v>174.97</v>
      </c>
      <c r="L118" s="8">
        <f t="shared" si="1"/>
        <v>-6.43315508</v>
      </c>
      <c r="M118" s="18">
        <f t="shared" si="2"/>
        <v>-64.3315508</v>
      </c>
      <c r="N118" s="18" t="str">
        <f t="shared" si="3"/>
        <v>Put Spread</v>
      </c>
      <c r="O118" s="18" t="str">
        <f t="shared" si="4"/>
        <v>No</v>
      </c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>
      <c r="A119" s="13" t="s">
        <v>142</v>
      </c>
      <c r="B119" s="14" t="s">
        <v>18</v>
      </c>
      <c r="C119" s="15">
        <v>41.13</v>
      </c>
      <c r="D119" s="13" t="s">
        <v>19</v>
      </c>
      <c r="E119" s="15">
        <v>37.09</v>
      </c>
      <c r="F119" s="15">
        <v>3.0</v>
      </c>
      <c r="G119" s="15">
        <v>2.0</v>
      </c>
      <c r="H119" s="15">
        <v>4.0</v>
      </c>
      <c r="I119" s="16">
        <v>0.0</v>
      </c>
      <c r="J119" s="17">
        <f>IFERROR(__xludf.DUMMYFUNCTION("INDEX(GOOGLEFINANCE(A119, ""open"", $J$1, $J$1), 2, 2)"),38.96)</f>
        <v>38.96</v>
      </c>
      <c r="K119" s="17">
        <f>IFERROR(__xludf.DUMMYFUNCTION("INDEX(GOOGLEFINANCE(A119, ""close"", $K$1, $K$1), 2, 2)"),36.46)</f>
        <v>36.46</v>
      </c>
      <c r="L119" s="8">
        <f t="shared" si="1"/>
        <v>-6.416837782</v>
      </c>
      <c r="M119" s="18">
        <f t="shared" si="2"/>
        <v>-64.16837782</v>
      </c>
      <c r="N119" s="18" t="str">
        <f t="shared" si="3"/>
        <v>Put Spread</v>
      </c>
      <c r="O119" s="18" t="str">
        <f t="shared" si="4"/>
        <v>No</v>
      </c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</row>
    <row r="120">
      <c r="A120" s="13" t="s">
        <v>143</v>
      </c>
      <c r="B120" s="14" t="s">
        <v>18</v>
      </c>
      <c r="C120" s="15">
        <v>56.46</v>
      </c>
      <c r="D120" s="13" t="s">
        <v>19</v>
      </c>
      <c r="E120" s="15">
        <v>51.72</v>
      </c>
      <c r="F120" s="15">
        <v>3.0</v>
      </c>
      <c r="G120" s="15">
        <v>1.0</v>
      </c>
      <c r="H120" s="15">
        <v>4.0</v>
      </c>
      <c r="I120" s="16">
        <v>0.0</v>
      </c>
      <c r="J120" s="17">
        <f>IFERROR(__xludf.DUMMYFUNCTION("INDEX(GOOGLEFINANCE(A120, ""open"", $J$1, $J$1), 2, 2)"),54.44)</f>
        <v>54.44</v>
      </c>
      <c r="K120" s="17">
        <f>IFERROR(__xludf.DUMMYFUNCTION("INDEX(GOOGLEFINANCE(A120, ""close"", $K$1, $K$1), 2, 2)"),50.96)</f>
        <v>50.96</v>
      </c>
      <c r="L120" s="8">
        <f t="shared" si="1"/>
        <v>-6.39235856</v>
      </c>
      <c r="M120" s="18">
        <f t="shared" si="2"/>
        <v>-63.9235856</v>
      </c>
      <c r="N120" s="18" t="str">
        <f t="shared" si="3"/>
        <v>Put Spread</v>
      </c>
      <c r="O120" s="18" t="str">
        <f t="shared" si="4"/>
        <v>No</v>
      </c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</row>
    <row r="121">
      <c r="A121" s="13" t="s">
        <v>144</v>
      </c>
      <c r="B121" s="14" t="s">
        <v>18</v>
      </c>
      <c r="C121" s="15">
        <v>139.08</v>
      </c>
      <c r="D121" s="13" t="s">
        <v>19</v>
      </c>
      <c r="E121" s="15">
        <v>131.34</v>
      </c>
      <c r="F121" s="15">
        <v>4.0</v>
      </c>
      <c r="G121" s="15">
        <v>2.0</v>
      </c>
      <c r="H121" s="15">
        <v>4.0</v>
      </c>
      <c r="I121" s="16">
        <v>0.0</v>
      </c>
      <c r="J121" s="17">
        <f>IFERROR(__xludf.DUMMYFUNCTION("INDEX(GOOGLEFINANCE(A121, ""open"", $J$1, $J$1), 2, 2)"),136.54)</f>
        <v>136.54</v>
      </c>
      <c r="K121" s="17">
        <f>IFERROR(__xludf.DUMMYFUNCTION("INDEX(GOOGLEFINANCE(A121, ""close"", $K$1, $K$1), 2, 2)"),127.86)</f>
        <v>127.86</v>
      </c>
      <c r="L121" s="8">
        <f t="shared" si="1"/>
        <v>-6.357111469</v>
      </c>
      <c r="M121" s="18">
        <f t="shared" si="2"/>
        <v>-63.57111469</v>
      </c>
      <c r="N121" s="18" t="str">
        <f t="shared" si="3"/>
        <v>Put Spread</v>
      </c>
      <c r="O121" s="18" t="str">
        <f t="shared" si="4"/>
        <v>No</v>
      </c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</row>
    <row r="122">
      <c r="A122" s="13" t="s">
        <v>145</v>
      </c>
      <c r="B122" s="14" t="s">
        <v>18</v>
      </c>
      <c r="C122" s="15">
        <v>1007.28</v>
      </c>
      <c r="D122" s="13" t="s">
        <v>19</v>
      </c>
      <c r="E122" s="15">
        <v>930.3</v>
      </c>
      <c r="F122" s="15">
        <v>3.0</v>
      </c>
      <c r="G122" s="15">
        <v>1.0</v>
      </c>
      <c r="H122" s="15">
        <v>2.0</v>
      </c>
      <c r="I122" s="16">
        <v>0.0</v>
      </c>
      <c r="J122" s="17">
        <f>IFERROR(__xludf.DUMMYFUNCTION("INDEX(GOOGLEFINANCE(A122, ""open"", $J$1, $J$1), 2, 2)"),976.0)</f>
        <v>976</v>
      </c>
      <c r="K122" s="17">
        <f>IFERROR(__xludf.DUMMYFUNCTION("INDEX(GOOGLEFINANCE(A122, ""close"", $K$1, $K$1), 2, 2)"),914.37)</f>
        <v>914.37</v>
      </c>
      <c r="L122" s="20">
        <f t="shared" si="1"/>
        <v>-6.31454918</v>
      </c>
      <c r="M122" s="18">
        <f t="shared" si="2"/>
        <v>-63.1454918</v>
      </c>
      <c r="N122" s="18" t="str">
        <f t="shared" si="3"/>
        <v>Put Spread</v>
      </c>
      <c r="O122" s="18" t="str">
        <f t="shared" si="4"/>
        <v>No</v>
      </c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</row>
    <row r="123">
      <c r="A123" s="13" t="s">
        <v>146</v>
      </c>
      <c r="B123" s="14" t="s">
        <v>18</v>
      </c>
      <c r="C123" s="15">
        <v>431.77</v>
      </c>
      <c r="D123" s="13" t="s">
        <v>19</v>
      </c>
      <c r="E123" s="15">
        <v>407.31</v>
      </c>
      <c r="F123" s="15">
        <v>4.0</v>
      </c>
      <c r="G123" s="15">
        <v>1.0</v>
      </c>
      <c r="H123" s="15">
        <v>0.0</v>
      </c>
      <c r="I123" s="16">
        <v>0.0</v>
      </c>
      <c r="J123" s="17">
        <f>IFERROR(__xludf.DUMMYFUNCTION("INDEX(GOOGLEFINANCE(A123, ""open"", $J$1, $J$1), 2, 2)"),417.54)</f>
        <v>417.54</v>
      </c>
      <c r="K123" s="17">
        <f>IFERROR(__xludf.DUMMYFUNCTION("INDEX(GOOGLEFINANCE(A123, ""close"", $K$1, $K$1), 2, 2)"),391.33)</f>
        <v>391.33</v>
      </c>
      <c r="L123" s="20">
        <f t="shared" si="1"/>
        <v>-6.277242899</v>
      </c>
      <c r="M123" s="18">
        <f t="shared" si="2"/>
        <v>-62.77242899</v>
      </c>
      <c r="N123" s="18" t="str">
        <f t="shared" si="3"/>
        <v>Put Spread</v>
      </c>
      <c r="O123" s="18" t="str">
        <f t="shared" si="4"/>
        <v>No</v>
      </c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</row>
    <row r="124">
      <c r="A124" s="13" t="s">
        <v>147</v>
      </c>
      <c r="B124" s="14" t="s">
        <v>18</v>
      </c>
      <c r="C124" s="15">
        <v>182.94</v>
      </c>
      <c r="D124" s="13" t="s">
        <v>19</v>
      </c>
      <c r="E124" s="15">
        <v>172.64</v>
      </c>
      <c r="F124" s="15">
        <v>2.0</v>
      </c>
      <c r="G124" s="15">
        <v>2.0</v>
      </c>
      <c r="H124" s="15">
        <v>1.0</v>
      </c>
      <c r="I124" s="16">
        <v>1.19907498785828</v>
      </c>
      <c r="J124" s="17">
        <f>IFERROR(__xludf.DUMMYFUNCTION("INDEX(GOOGLEFINANCE(A124, ""open"", $J$1, $J$1), 2, 2)"),176.9)</f>
        <v>176.9</v>
      </c>
      <c r="K124" s="17">
        <f>IFERROR(__xludf.DUMMYFUNCTION("INDEX(GOOGLEFINANCE(A124, ""close"", $K$1, $K$1), 2, 2)"),165.82)</f>
        <v>165.82</v>
      </c>
      <c r="L124" s="8">
        <f t="shared" si="1"/>
        <v>-6.263425664</v>
      </c>
      <c r="M124" s="18">
        <f t="shared" si="2"/>
        <v>-62.63425664</v>
      </c>
      <c r="N124" s="18" t="str">
        <f t="shared" si="3"/>
        <v>Put Spread</v>
      </c>
      <c r="O124" s="18" t="str">
        <f t="shared" si="4"/>
        <v>No</v>
      </c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</row>
    <row r="125">
      <c r="A125" s="13" t="s">
        <v>148</v>
      </c>
      <c r="B125" s="14" t="s">
        <v>18</v>
      </c>
      <c r="C125" s="15">
        <v>121.33</v>
      </c>
      <c r="D125" s="13" t="s">
        <v>19</v>
      </c>
      <c r="E125" s="15">
        <v>109.29</v>
      </c>
      <c r="F125" s="15">
        <v>4.0</v>
      </c>
      <c r="G125" s="15">
        <v>2.0</v>
      </c>
      <c r="H125" s="15">
        <v>3.0</v>
      </c>
      <c r="I125" s="16">
        <v>0.0</v>
      </c>
      <c r="J125" s="17">
        <f>IFERROR(__xludf.DUMMYFUNCTION("INDEX(GOOGLEFINANCE(A125, ""open"", $J$1, $J$1), 2, 2)"),114.5)</f>
        <v>114.5</v>
      </c>
      <c r="K125" s="17">
        <f>IFERROR(__xludf.DUMMYFUNCTION("INDEX(GOOGLEFINANCE(A125, ""close"", $K$1, $K$1), 2, 2)"),107.34)</f>
        <v>107.34</v>
      </c>
      <c r="L125" s="8">
        <f t="shared" si="1"/>
        <v>-6.253275109</v>
      </c>
      <c r="M125" s="18">
        <f t="shared" si="2"/>
        <v>-62.53275109</v>
      </c>
      <c r="N125" s="18" t="str">
        <f t="shared" si="3"/>
        <v>Put Spread</v>
      </c>
      <c r="O125" s="18" t="str">
        <f t="shared" si="4"/>
        <v>No</v>
      </c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</row>
    <row r="126">
      <c r="A126" s="13" t="s">
        <v>149</v>
      </c>
      <c r="B126" s="14" t="s">
        <v>18</v>
      </c>
      <c r="C126" s="15">
        <v>860.7</v>
      </c>
      <c r="D126" s="13" t="s">
        <v>19</v>
      </c>
      <c r="E126" s="15">
        <v>764.68</v>
      </c>
      <c r="F126" s="15">
        <v>4.0</v>
      </c>
      <c r="G126" s="15">
        <v>3.0</v>
      </c>
      <c r="H126" s="15">
        <v>3.0</v>
      </c>
      <c r="I126" s="16">
        <v>0.0</v>
      </c>
      <c r="J126" s="17">
        <f>IFERROR(__xludf.DUMMYFUNCTION("INDEX(GOOGLEFINANCE(A126, ""open"", $J$1, $J$1), 2, 2)"),812.65)</f>
        <v>812.65</v>
      </c>
      <c r="K126" s="17">
        <f>IFERROR(__xludf.DUMMYFUNCTION("INDEX(GOOGLEFINANCE(A126, ""close"", $K$1, $K$1), 2, 2)"),762.33)</f>
        <v>762.33</v>
      </c>
      <c r="L126" s="20">
        <f t="shared" si="1"/>
        <v>-6.192087615</v>
      </c>
      <c r="M126" s="18">
        <f t="shared" si="2"/>
        <v>-61.92087615</v>
      </c>
      <c r="N126" s="18" t="str">
        <f t="shared" si="3"/>
        <v>Put Spread</v>
      </c>
      <c r="O126" s="18" t="str">
        <f t="shared" si="4"/>
        <v>No</v>
      </c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</row>
    <row r="127">
      <c r="A127" s="13" t="s">
        <v>150</v>
      </c>
      <c r="B127" s="14" t="s">
        <v>18</v>
      </c>
      <c r="C127" s="15">
        <v>31.11</v>
      </c>
      <c r="D127" s="13" t="s">
        <v>19</v>
      </c>
      <c r="E127" s="15">
        <v>27.17</v>
      </c>
      <c r="F127" s="15">
        <v>5.0</v>
      </c>
      <c r="G127" s="15">
        <v>3.0</v>
      </c>
      <c r="H127" s="15">
        <v>4.0</v>
      </c>
      <c r="I127" s="16">
        <v>0.0</v>
      </c>
      <c r="J127" s="17">
        <f>IFERROR(__xludf.DUMMYFUNCTION("INDEX(GOOGLEFINANCE(A127, ""open"", $J$1, $J$1), 2, 2)"),28.8)</f>
        <v>28.8</v>
      </c>
      <c r="K127" s="17">
        <f>IFERROR(__xludf.DUMMYFUNCTION("INDEX(GOOGLEFINANCE(A127, ""close"", $K$1, $K$1), 2, 2)"),27.02)</f>
        <v>27.02</v>
      </c>
      <c r="L127" s="8">
        <f t="shared" si="1"/>
        <v>-6.180555556</v>
      </c>
      <c r="M127" s="18">
        <f t="shared" si="2"/>
        <v>-61.80555556</v>
      </c>
      <c r="N127" s="18" t="str">
        <f t="shared" si="3"/>
        <v>Put Spread</v>
      </c>
      <c r="O127" s="18" t="str">
        <f t="shared" si="4"/>
        <v>No</v>
      </c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</row>
    <row r="128">
      <c r="A128" s="13" t="s">
        <v>151</v>
      </c>
      <c r="B128" s="14" t="s">
        <v>18</v>
      </c>
      <c r="C128" s="15">
        <v>415.17</v>
      </c>
      <c r="D128" s="13" t="s">
        <v>19</v>
      </c>
      <c r="E128" s="15">
        <v>391.89</v>
      </c>
      <c r="F128" s="15">
        <v>5.0</v>
      </c>
      <c r="G128" s="15">
        <v>2.0</v>
      </c>
      <c r="H128" s="15">
        <v>5.0</v>
      </c>
      <c r="I128" s="16">
        <v>-0.8510458</v>
      </c>
      <c r="J128" s="17">
        <f>IFERROR(__xludf.DUMMYFUNCTION("INDEX(GOOGLEFINANCE(A128, ""open"", $J$1, $J$1), 2, 2)"),402.59)</f>
        <v>402.59</v>
      </c>
      <c r="K128" s="17">
        <f>IFERROR(__xludf.DUMMYFUNCTION("INDEX(GOOGLEFINANCE(A128, ""close"", $K$1, $K$1), 2, 2)"),377.79)</f>
        <v>377.79</v>
      </c>
      <c r="L128" s="8">
        <f t="shared" si="1"/>
        <v>-6.160113267</v>
      </c>
      <c r="M128" s="18">
        <f t="shared" si="2"/>
        <v>-61.60113267</v>
      </c>
      <c r="N128" s="18" t="str">
        <f t="shared" si="3"/>
        <v>Put Spread</v>
      </c>
      <c r="O128" s="18" t="str">
        <f t="shared" si="4"/>
        <v>No</v>
      </c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</row>
    <row r="129">
      <c r="A129" s="13" t="s">
        <v>152</v>
      </c>
      <c r="B129" s="14" t="s">
        <v>18</v>
      </c>
      <c r="C129" s="15">
        <v>88.5</v>
      </c>
      <c r="D129" s="13" t="s">
        <v>19</v>
      </c>
      <c r="E129" s="15">
        <v>80.92</v>
      </c>
      <c r="F129" s="15">
        <v>5.0</v>
      </c>
      <c r="G129" s="15">
        <v>2.0</v>
      </c>
      <c r="H129" s="15">
        <v>4.0</v>
      </c>
      <c r="I129" s="16">
        <v>0.0</v>
      </c>
      <c r="J129" s="17">
        <f>IFERROR(__xludf.DUMMYFUNCTION("INDEX(GOOGLEFINANCE(A129, ""open"", $J$1, $J$1), 2, 2)"),84.47)</f>
        <v>84.47</v>
      </c>
      <c r="K129" s="17">
        <f>IFERROR(__xludf.DUMMYFUNCTION("INDEX(GOOGLEFINANCE(A129, ""close"", $K$1, $K$1), 2, 2)"),79.29)</f>
        <v>79.29</v>
      </c>
      <c r="L129" s="8">
        <f t="shared" si="1"/>
        <v>-6.132354682</v>
      </c>
      <c r="M129" s="18">
        <f t="shared" si="2"/>
        <v>-61.32354682</v>
      </c>
      <c r="N129" s="18" t="str">
        <f t="shared" si="3"/>
        <v>Put Spread</v>
      </c>
      <c r="O129" s="18" t="str">
        <f t="shared" si="4"/>
        <v>No</v>
      </c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</row>
    <row r="130">
      <c r="A130" s="13" t="s">
        <v>153</v>
      </c>
      <c r="B130" s="14" t="s">
        <v>18</v>
      </c>
      <c r="C130" s="15">
        <v>109.41</v>
      </c>
      <c r="D130" s="13" t="s">
        <v>19</v>
      </c>
      <c r="E130" s="15">
        <v>92.79</v>
      </c>
      <c r="F130" s="15">
        <v>4.0</v>
      </c>
      <c r="G130" s="15">
        <v>3.0</v>
      </c>
      <c r="H130" s="15">
        <v>4.0</v>
      </c>
      <c r="I130" s="16">
        <v>-0.446689</v>
      </c>
      <c r="J130" s="17">
        <f>IFERROR(__xludf.DUMMYFUNCTION("INDEX(GOOGLEFINANCE(A130, ""open"", $J$1, $J$1), 2, 2)"),101.34)</f>
        <v>101.34</v>
      </c>
      <c r="K130" s="17">
        <f>IFERROR(__xludf.DUMMYFUNCTION("INDEX(GOOGLEFINANCE(A130, ""close"", $K$1, $K$1), 2, 2)"),95.13)</f>
        <v>95.13</v>
      </c>
      <c r="L130" s="8">
        <f t="shared" si="1"/>
        <v>-6.127886323</v>
      </c>
      <c r="M130" s="18">
        <f t="shared" si="2"/>
        <v>-61.27886323</v>
      </c>
      <c r="N130" s="18" t="str">
        <f t="shared" si="3"/>
        <v>Put Spread</v>
      </c>
      <c r="O130" s="18" t="str">
        <f t="shared" si="4"/>
        <v>Success</v>
      </c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</row>
    <row r="131">
      <c r="A131" s="13" t="s">
        <v>154</v>
      </c>
      <c r="B131" s="14" t="s">
        <v>18</v>
      </c>
      <c r="C131" s="15">
        <v>117.47</v>
      </c>
      <c r="D131" s="13" t="s">
        <v>19</v>
      </c>
      <c r="E131" s="15">
        <v>105.05</v>
      </c>
      <c r="F131" s="15">
        <v>2.0</v>
      </c>
      <c r="G131" s="15">
        <v>1.0</v>
      </c>
      <c r="H131" s="15">
        <v>2.0</v>
      </c>
      <c r="I131" s="16">
        <v>-2.4126937</v>
      </c>
      <c r="J131" s="17">
        <f>IFERROR(__xludf.DUMMYFUNCTION("INDEX(GOOGLEFINANCE(A131, ""open"", $J$1, $J$1), 2, 2)"),111.72)</f>
        <v>111.72</v>
      </c>
      <c r="K131" s="17">
        <f>IFERROR(__xludf.DUMMYFUNCTION("INDEX(GOOGLEFINANCE(A131, ""close"", $K$1, $K$1), 2, 2)"),104.88)</f>
        <v>104.88</v>
      </c>
      <c r="L131" s="8">
        <f t="shared" si="1"/>
        <v>-6.12244898</v>
      </c>
      <c r="M131" s="18">
        <f t="shared" si="2"/>
        <v>-61.2244898</v>
      </c>
      <c r="N131" s="18" t="str">
        <f t="shared" si="3"/>
        <v>Put Spread</v>
      </c>
      <c r="O131" s="18" t="str">
        <f t="shared" si="4"/>
        <v>No</v>
      </c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</row>
    <row r="132">
      <c r="A132" s="13" t="s">
        <v>155</v>
      </c>
      <c r="B132" s="14" t="s">
        <v>18</v>
      </c>
      <c r="C132" s="15">
        <v>25.65</v>
      </c>
      <c r="D132" s="13" t="s">
        <v>19</v>
      </c>
      <c r="E132" s="15">
        <v>23.51</v>
      </c>
      <c r="F132" s="15">
        <v>2.0</v>
      </c>
      <c r="G132" s="15">
        <v>3.0</v>
      </c>
      <c r="H132" s="15">
        <v>3.0</v>
      </c>
      <c r="I132" s="16">
        <v>0.0</v>
      </c>
      <c r="J132" s="17">
        <f>IFERROR(__xludf.DUMMYFUNCTION("INDEX(GOOGLEFINANCE(A132, ""open"", $J$1, $J$1), 2, 2)"),24.62)</f>
        <v>24.62</v>
      </c>
      <c r="K132" s="17">
        <f>IFERROR(__xludf.DUMMYFUNCTION("INDEX(GOOGLEFINANCE(A132, ""close"", $K$1, $K$1), 2, 2)"),23.12)</f>
        <v>23.12</v>
      </c>
      <c r="L132" s="8">
        <f t="shared" si="1"/>
        <v>-6.092607636</v>
      </c>
      <c r="M132" s="18">
        <f t="shared" si="2"/>
        <v>-60.92607636</v>
      </c>
      <c r="N132" s="18" t="str">
        <f t="shared" si="3"/>
        <v>Put Spread</v>
      </c>
      <c r="O132" s="18" t="str">
        <f t="shared" si="4"/>
        <v>No</v>
      </c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</row>
    <row r="133">
      <c r="A133" s="13" t="s">
        <v>156</v>
      </c>
      <c r="B133" s="14" t="s">
        <v>18</v>
      </c>
      <c r="C133" s="15">
        <v>9.89</v>
      </c>
      <c r="D133" s="13" t="s">
        <v>19</v>
      </c>
      <c r="E133" s="15">
        <v>8.93</v>
      </c>
      <c r="F133" s="15">
        <v>5.0</v>
      </c>
      <c r="G133" s="15">
        <v>2.0</v>
      </c>
      <c r="H133" s="15">
        <v>4.0</v>
      </c>
      <c r="I133" s="16">
        <v>0.0</v>
      </c>
      <c r="J133" s="17">
        <f>IFERROR(__xludf.DUMMYFUNCTION("INDEX(GOOGLEFINANCE(A133, ""open"", $J$1, $J$1), 2, 2)"),9.38)</f>
        <v>9.38</v>
      </c>
      <c r="K133" s="17">
        <f>IFERROR(__xludf.DUMMYFUNCTION("INDEX(GOOGLEFINANCE(A133, ""close"", $K$1, $K$1), 2, 2)"),8.81)</f>
        <v>8.81</v>
      </c>
      <c r="L133" s="8">
        <f t="shared" si="1"/>
        <v>-6.076759062</v>
      </c>
      <c r="M133" s="18">
        <f t="shared" si="2"/>
        <v>-60.76759062</v>
      </c>
      <c r="N133" s="18" t="str">
        <f t="shared" si="3"/>
        <v>Put Spread</v>
      </c>
      <c r="O133" s="18" t="str">
        <f t="shared" si="4"/>
        <v>No</v>
      </c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</row>
    <row r="134">
      <c r="A134" s="13" t="s">
        <v>157</v>
      </c>
      <c r="B134" s="14" t="s">
        <v>18</v>
      </c>
      <c r="C134" s="15">
        <v>112.17</v>
      </c>
      <c r="D134" s="13" t="s">
        <v>19</v>
      </c>
      <c r="E134" s="15">
        <v>99.93</v>
      </c>
      <c r="F134" s="15">
        <v>5.0</v>
      </c>
      <c r="G134" s="15">
        <v>4.0</v>
      </c>
      <c r="H134" s="15">
        <v>4.0</v>
      </c>
      <c r="I134" s="16">
        <v>0.0</v>
      </c>
      <c r="J134" s="17">
        <f>IFERROR(__xludf.DUMMYFUNCTION("INDEX(GOOGLEFINANCE(A134, ""open"", $J$1, $J$1), 2, 2)"),106.22)</f>
        <v>106.22</v>
      </c>
      <c r="K134" s="17">
        <f>IFERROR(__xludf.DUMMYFUNCTION("INDEX(GOOGLEFINANCE(A134, ""close"", $K$1, $K$1), 2, 2)"),99.77)</f>
        <v>99.77</v>
      </c>
      <c r="L134" s="8">
        <f t="shared" si="1"/>
        <v>-6.072302768</v>
      </c>
      <c r="M134" s="18">
        <f t="shared" si="2"/>
        <v>-60.72302768</v>
      </c>
      <c r="N134" s="18" t="str">
        <f t="shared" si="3"/>
        <v>Put Spread</v>
      </c>
      <c r="O134" s="18" t="str">
        <f t="shared" si="4"/>
        <v>No</v>
      </c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</row>
    <row r="135">
      <c r="A135" s="13" t="s">
        <v>158</v>
      </c>
      <c r="B135" s="14" t="s">
        <v>18</v>
      </c>
      <c r="C135" s="15">
        <v>67.78</v>
      </c>
      <c r="D135" s="13" t="s">
        <v>19</v>
      </c>
      <c r="E135" s="15">
        <v>57.14</v>
      </c>
      <c r="F135" s="15">
        <v>3.0</v>
      </c>
      <c r="G135" s="15">
        <v>5.0</v>
      </c>
      <c r="H135" s="15">
        <v>5.0</v>
      </c>
      <c r="I135" s="16">
        <v>-0.6827378</v>
      </c>
      <c r="J135" s="17">
        <f>IFERROR(__xludf.DUMMYFUNCTION("INDEX(GOOGLEFINANCE(A135, ""open"", $J$1, $J$1), 2, 2)"),62.52)</f>
        <v>62.52</v>
      </c>
      <c r="K135" s="17">
        <f>IFERROR(__xludf.DUMMYFUNCTION("INDEX(GOOGLEFINANCE(A135, ""close"", $K$1, $K$1), 2, 2)"),58.77)</f>
        <v>58.77</v>
      </c>
      <c r="L135" s="8">
        <f t="shared" si="1"/>
        <v>-5.998080614</v>
      </c>
      <c r="M135" s="18">
        <f t="shared" si="2"/>
        <v>-59.98080614</v>
      </c>
      <c r="N135" s="18" t="str">
        <f t="shared" si="3"/>
        <v>Put Spread</v>
      </c>
      <c r="O135" s="18" t="str">
        <f t="shared" si="4"/>
        <v>Success</v>
      </c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</row>
    <row r="136">
      <c r="A136" s="13" t="s">
        <v>159</v>
      </c>
      <c r="B136" s="14" t="s">
        <v>18</v>
      </c>
      <c r="C136" s="15">
        <v>202.21</v>
      </c>
      <c r="D136" s="13" t="s">
        <v>19</v>
      </c>
      <c r="E136" s="15">
        <v>192.21</v>
      </c>
      <c r="F136" s="15">
        <v>3.0</v>
      </c>
      <c r="G136" s="15">
        <v>1.0</v>
      </c>
      <c r="H136" s="15">
        <v>2.0</v>
      </c>
      <c r="I136" s="16">
        <v>0.0</v>
      </c>
      <c r="J136" s="17">
        <f>IFERROR(__xludf.DUMMYFUNCTION("INDEX(GOOGLEFINANCE(A136, ""open"", $J$1, $J$1), 2, 2)"),198.79)</f>
        <v>198.79</v>
      </c>
      <c r="K136" s="17">
        <f>IFERROR(__xludf.DUMMYFUNCTION("INDEX(GOOGLEFINANCE(A136, ""close"", $K$1, $K$1), 2, 2)"),186.89)</f>
        <v>186.89</v>
      </c>
      <c r="L136" s="8">
        <f t="shared" si="1"/>
        <v>-5.98621661</v>
      </c>
      <c r="M136" s="18">
        <f t="shared" si="2"/>
        <v>-59.8621661</v>
      </c>
      <c r="N136" s="18" t="str">
        <f t="shared" si="3"/>
        <v>Put Spread</v>
      </c>
      <c r="O136" s="18" t="str">
        <f t="shared" si="4"/>
        <v>No</v>
      </c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</row>
    <row r="137">
      <c r="A137" s="13" t="s">
        <v>160</v>
      </c>
      <c r="B137" s="14" t="s">
        <v>18</v>
      </c>
      <c r="C137" s="15">
        <v>14.36</v>
      </c>
      <c r="D137" s="13" t="s">
        <v>19</v>
      </c>
      <c r="E137" s="15">
        <v>12.4</v>
      </c>
      <c r="F137" s="15">
        <v>3.0</v>
      </c>
      <c r="G137" s="15">
        <v>3.0</v>
      </c>
      <c r="H137" s="15">
        <v>1.0</v>
      </c>
      <c r="I137" s="16">
        <v>1.49394764921084</v>
      </c>
      <c r="J137" s="17">
        <f>IFERROR(__xludf.DUMMYFUNCTION("INDEX(GOOGLEFINANCE(A137, ""open"", $J$1, $J$1), 2, 2)"),13.37)</f>
        <v>13.37</v>
      </c>
      <c r="K137" s="17">
        <f>IFERROR(__xludf.DUMMYFUNCTION("INDEX(GOOGLEFINANCE(A137, ""close"", $K$1, $K$1), 2, 2)"),12.57)</f>
        <v>12.57</v>
      </c>
      <c r="L137" s="8">
        <f t="shared" si="1"/>
        <v>-5.983545251</v>
      </c>
      <c r="M137" s="18">
        <f t="shared" si="2"/>
        <v>-59.83545251</v>
      </c>
      <c r="N137" s="18" t="str">
        <f t="shared" si="3"/>
        <v>Put Spread</v>
      </c>
      <c r="O137" s="18" t="str">
        <f t="shared" si="4"/>
        <v>Success</v>
      </c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>
      <c r="A138" s="13" t="s">
        <v>161</v>
      </c>
      <c r="B138" s="26" t="s">
        <v>47</v>
      </c>
      <c r="C138" s="15">
        <v>8.91</v>
      </c>
      <c r="D138" s="13" t="s">
        <v>48</v>
      </c>
      <c r="E138" s="15">
        <v>11.09</v>
      </c>
      <c r="F138" s="15">
        <v>0.0</v>
      </c>
      <c r="G138" s="15">
        <v>3.0</v>
      </c>
      <c r="H138" s="15">
        <v>1.0</v>
      </c>
      <c r="I138" s="16">
        <v>0.0</v>
      </c>
      <c r="J138" s="17">
        <f>IFERROR(__xludf.DUMMYFUNCTION("INDEX(GOOGLEFINANCE(A138, ""open"", $J$1, $J$1), 2, 2)"),10.04)</f>
        <v>10.04</v>
      </c>
      <c r="K138" s="17">
        <f>IFERROR(__xludf.DUMMYFUNCTION("INDEX(GOOGLEFINANCE(A138, ""close"", $K$1, $K$1), 2, 2)"),10.64)</f>
        <v>10.64</v>
      </c>
      <c r="L138" s="8">
        <f t="shared" si="1"/>
        <v>-5.976095618</v>
      </c>
      <c r="M138" s="18">
        <f t="shared" si="2"/>
        <v>-59.76095618</v>
      </c>
      <c r="N138" s="18" t="str">
        <f t="shared" si="3"/>
        <v>Call Spread</v>
      </c>
      <c r="O138" s="18" t="str">
        <f t="shared" si="4"/>
        <v>Success</v>
      </c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>
      <c r="A139" s="13" t="s">
        <v>162</v>
      </c>
      <c r="B139" s="14" t="s">
        <v>18</v>
      </c>
      <c r="C139" s="15">
        <v>134.22</v>
      </c>
      <c r="D139" s="13" t="s">
        <v>19</v>
      </c>
      <c r="E139" s="15">
        <v>114.64</v>
      </c>
      <c r="F139" s="15">
        <v>3.0</v>
      </c>
      <c r="G139" s="15">
        <v>3.0</v>
      </c>
      <c r="H139" s="15">
        <v>5.0</v>
      </c>
      <c r="I139" s="16">
        <v>-1.3568601</v>
      </c>
      <c r="J139" s="17">
        <f>IFERROR(__xludf.DUMMYFUNCTION("INDEX(GOOGLEFINANCE(A139, ""open"", $J$1, $J$1), 2, 2)"),126.1)</f>
        <v>126.1</v>
      </c>
      <c r="K139" s="17">
        <f>IFERROR(__xludf.DUMMYFUNCTION("INDEX(GOOGLEFINANCE(A139, ""close"", $K$1, $K$1), 2, 2)"),118.6)</f>
        <v>118.6</v>
      </c>
      <c r="L139" s="8">
        <f t="shared" si="1"/>
        <v>-5.947660587</v>
      </c>
      <c r="M139" s="18">
        <f t="shared" si="2"/>
        <v>-59.47660587</v>
      </c>
      <c r="N139" s="18" t="str">
        <f t="shared" si="3"/>
        <v>Put Spread</v>
      </c>
      <c r="O139" s="18" t="str">
        <f t="shared" si="4"/>
        <v>Success</v>
      </c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>
      <c r="A140" s="13" t="s">
        <v>163</v>
      </c>
      <c r="B140" s="14" t="s">
        <v>18</v>
      </c>
      <c r="C140" s="15">
        <v>138.44</v>
      </c>
      <c r="D140" s="13" t="s">
        <v>19</v>
      </c>
      <c r="E140" s="15">
        <v>108.76</v>
      </c>
      <c r="F140" s="15">
        <v>3.0</v>
      </c>
      <c r="G140" s="15">
        <v>2.0</v>
      </c>
      <c r="H140" s="15">
        <v>2.0</v>
      </c>
      <c r="I140" s="16">
        <v>0.0</v>
      </c>
      <c r="J140" s="17">
        <f>IFERROR(__xludf.DUMMYFUNCTION("INDEX(GOOGLEFINANCE(A140, ""open"", $J$1, $J$1), 2, 2)"),124.01)</f>
        <v>124.01</v>
      </c>
      <c r="K140" s="17">
        <f>IFERROR(__xludf.DUMMYFUNCTION("INDEX(GOOGLEFINANCE(A140, ""close"", $K$1, $K$1), 2, 2)"),116.56)</f>
        <v>116.56</v>
      </c>
      <c r="L140" s="8">
        <f t="shared" si="1"/>
        <v>-6.007580034</v>
      </c>
      <c r="M140" s="18">
        <f t="shared" si="2"/>
        <v>-60.07580034</v>
      </c>
      <c r="N140" s="18" t="str">
        <f t="shared" si="3"/>
        <v>Put Spread</v>
      </c>
      <c r="O140" s="18" t="str">
        <f t="shared" si="4"/>
        <v>Success</v>
      </c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>
      <c r="A141" s="13" t="s">
        <v>164</v>
      </c>
      <c r="B141" s="14" t="s">
        <v>18</v>
      </c>
      <c r="C141" s="15">
        <v>151.88</v>
      </c>
      <c r="D141" s="13" t="s">
        <v>19</v>
      </c>
      <c r="E141" s="15">
        <v>144.1</v>
      </c>
      <c r="F141" s="15">
        <v>5.0</v>
      </c>
      <c r="G141" s="15">
        <v>0.0</v>
      </c>
      <c r="H141" s="15">
        <v>5.0</v>
      </c>
      <c r="I141" s="16">
        <v>-0.5827906</v>
      </c>
      <c r="J141" s="17">
        <f>IFERROR(__xludf.DUMMYFUNCTION("INDEX(GOOGLEFINANCE(A141, ""open"", $J$1, $J$1), 2, 2)"),148.04)</f>
        <v>148.04</v>
      </c>
      <c r="K141" s="17">
        <f>IFERROR(__xludf.DUMMYFUNCTION("INDEX(GOOGLEFINANCE(A141, ""close"", $K$1, $K$1), 2, 2)"),139.34)</f>
        <v>139.34</v>
      </c>
      <c r="L141" s="8">
        <f t="shared" si="1"/>
        <v>-5.876790057</v>
      </c>
      <c r="M141" s="18">
        <f t="shared" si="2"/>
        <v>-58.76790057</v>
      </c>
      <c r="N141" s="18" t="str">
        <f t="shared" si="3"/>
        <v>Put Spread</v>
      </c>
      <c r="O141" s="18" t="str">
        <f t="shared" si="4"/>
        <v>No</v>
      </c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</row>
    <row r="142">
      <c r="A142" s="13" t="s">
        <v>165</v>
      </c>
      <c r="B142" s="14" t="s">
        <v>18</v>
      </c>
      <c r="C142" s="15">
        <v>27.25</v>
      </c>
      <c r="D142" s="13" t="s">
        <v>19</v>
      </c>
      <c r="E142" s="15">
        <v>25.59</v>
      </c>
      <c r="F142" s="15">
        <v>5.0</v>
      </c>
      <c r="G142" s="15">
        <v>0.0</v>
      </c>
      <c r="H142" s="15">
        <v>4.0</v>
      </c>
      <c r="I142" s="16">
        <v>0.669208947525752</v>
      </c>
      <c r="J142" s="17">
        <f>IFERROR(__xludf.DUMMYFUNCTION("INDEX(GOOGLEFINANCE(A142, ""open"", $J$1, $J$1), 2, 2)"),26.44)</f>
        <v>26.44</v>
      </c>
      <c r="K142" s="17">
        <f>IFERROR(__xludf.DUMMYFUNCTION("INDEX(GOOGLEFINANCE(A142, ""close"", $K$1, $K$1), 2, 2)"),24.89)</f>
        <v>24.89</v>
      </c>
      <c r="L142" s="8">
        <f t="shared" si="1"/>
        <v>-5.862329803</v>
      </c>
      <c r="M142" s="18">
        <f t="shared" si="2"/>
        <v>-58.62329803</v>
      </c>
      <c r="N142" s="18" t="str">
        <f t="shared" si="3"/>
        <v>Put Spread</v>
      </c>
      <c r="O142" s="18" t="str">
        <f t="shared" si="4"/>
        <v>No</v>
      </c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</row>
    <row r="143">
      <c r="A143" s="13" t="s">
        <v>166</v>
      </c>
      <c r="B143" s="14" t="s">
        <v>18</v>
      </c>
      <c r="C143" s="15">
        <v>4.5</v>
      </c>
      <c r="D143" s="13" t="s">
        <v>19</v>
      </c>
      <c r="E143" s="15">
        <v>4.16</v>
      </c>
      <c r="F143" s="15">
        <v>3.0</v>
      </c>
      <c r="G143" s="15">
        <v>3.0</v>
      </c>
      <c r="H143" s="15">
        <v>1.0</v>
      </c>
      <c r="I143" s="16">
        <v>3.6794226169781</v>
      </c>
      <c r="J143" s="17">
        <f>IFERROR(__xludf.DUMMYFUNCTION("INDEX(GOOGLEFINANCE(A143, ""open"", $J$1, $J$1), 2, 2)"),4.31)</f>
        <v>4.31</v>
      </c>
      <c r="K143" s="17">
        <f>IFERROR(__xludf.DUMMYFUNCTION("INDEX(GOOGLEFINANCE(A143, ""close"", $K$1, $K$1), 2, 2)"),4.05)</f>
        <v>4.05</v>
      </c>
      <c r="L143" s="8">
        <f t="shared" si="1"/>
        <v>-6.032482599</v>
      </c>
      <c r="M143" s="18">
        <f t="shared" si="2"/>
        <v>-60.32482599</v>
      </c>
      <c r="N143" s="18" t="str">
        <f t="shared" si="3"/>
        <v>Put Spread</v>
      </c>
      <c r="O143" s="18" t="str">
        <f t="shared" si="4"/>
        <v>No</v>
      </c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</row>
    <row r="144">
      <c r="A144" s="13" t="s">
        <v>167</v>
      </c>
      <c r="B144" s="14" t="s">
        <v>18</v>
      </c>
      <c r="C144" s="15">
        <v>2.67</v>
      </c>
      <c r="D144" s="13" t="s">
        <v>19</v>
      </c>
      <c r="E144" s="15">
        <v>1.85</v>
      </c>
      <c r="F144" s="15">
        <v>5.0</v>
      </c>
      <c r="G144" s="15">
        <v>4.0</v>
      </c>
      <c r="H144" s="15">
        <v>4.0</v>
      </c>
      <c r="I144" s="16">
        <v>0.0</v>
      </c>
      <c r="J144" s="17">
        <f>IFERROR(__xludf.DUMMYFUNCTION("INDEX(GOOGLEFINANCE(A144, ""open"", $J$1, $J$1), 2, 2)"),2.25)</f>
        <v>2.25</v>
      </c>
      <c r="K144" s="17">
        <f>IFERROR(__xludf.DUMMYFUNCTION("INDEX(GOOGLEFINANCE(A144, ""close"", $K$1, $K$1), 2, 2)"),2.12)</f>
        <v>2.12</v>
      </c>
      <c r="L144" s="8">
        <f t="shared" si="1"/>
        <v>-5.777777778</v>
      </c>
      <c r="M144" s="18">
        <f t="shared" si="2"/>
        <v>-57.77777778</v>
      </c>
      <c r="N144" s="18" t="str">
        <f t="shared" si="3"/>
        <v>Put Spread</v>
      </c>
      <c r="O144" s="18" t="str">
        <f t="shared" si="4"/>
        <v>Success</v>
      </c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</row>
    <row r="145">
      <c r="A145" s="13" t="s">
        <v>168</v>
      </c>
      <c r="B145" s="14" t="s">
        <v>18</v>
      </c>
      <c r="C145" s="15">
        <v>49.86</v>
      </c>
      <c r="D145" s="13" t="s">
        <v>19</v>
      </c>
      <c r="E145" s="15">
        <v>47.04</v>
      </c>
      <c r="F145" s="15">
        <v>3.0</v>
      </c>
      <c r="G145" s="15">
        <v>1.0</v>
      </c>
      <c r="H145" s="15">
        <v>5.0</v>
      </c>
      <c r="I145" s="16">
        <v>0.0</v>
      </c>
      <c r="J145" s="17">
        <f>IFERROR(__xludf.DUMMYFUNCTION("INDEX(GOOGLEFINANCE(A145, ""open"", $J$1, $J$1), 2, 2)"),48.45)</f>
        <v>48.45</v>
      </c>
      <c r="K145" s="17">
        <f>IFERROR(__xludf.DUMMYFUNCTION("INDEX(GOOGLEFINANCE(A145, ""close"", $K$1, $K$1), 2, 2)"),45.66)</f>
        <v>45.66</v>
      </c>
      <c r="L145" s="8">
        <f t="shared" si="1"/>
        <v>-5.758513932</v>
      </c>
      <c r="M145" s="18">
        <f t="shared" si="2"/>
        <v>-57.58513932</v>
      </c>
      <c r="N145" s="18" t="str">
        <f t="shared" si="3"/>
        <v>Put Spread</v>
      </c>
      <c r="O145" s="18" t="str">
        <f t="shared" si="4"/>
        <v>No</v>
      </c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</row>
    <row r="146">
      <c r="A146" s="13" t="s">
        <v>169</v>
      </c>
      <c r="B146" s="14" t="s">
        <v>18</v>
      </c>
      <c r="C146" s="15">
        <v>12.02</v>
      </c>
      <c r="D146" s="13" t="s">
        <v>19</v>
      </c>
      <c r="E146" s="15">
        <v>10.92</v>
      </c>
      <c r="F146" s="15">
        <v>4.0</v>
      </c>
      <c r="G146" s="15">
        <v>4.0</v>
      </c>
      <c r="H146" s="15">
        <v>4.0</v>
      </c>
      <c r="I146" s="16">
        <v>-1.9291608</v>
      </c>
      <c r="J146" s="17">
        <f>IFERROR(__xludf.DUMMYFUNCTION("INDEX(GOOGLEFINANCE(A146, ""open"", $J$1, $J$1), 2, 2)"),11.48)</f>
        <v>11.48</v>
      </c>
      <c r="K146" s="17">
        <f>IFERROR(__xludf.DUMMYFUNCTION("INDEX(GOOGLEFINANCE(A146, ""close"", $K$1, $K$1), 2, 2)"),10.82)</f>
        <v>10.82</v>
      </c>
      <c r="L146" s="8">
        <f t="shared" si="1"/>
        <v>-5.74912892</v>
      </c>
      <c r="M146" s="18">
        <f t="shared" si="2"/>
        <v>-57.4912892</v>
      </c>
      <c r="N146" s="18" t="str">
        <f t="shared" si="3"/>
        <v>Put Spread</v>
      </c>
      <c r="O146" s="18" t="str">
        <f t="shared" si="4"/>
        <v>No</v>
      </c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</row>
    <row r="147">
      <c r="A147" s="13" t="s">
        <v>170</v>
      </c>
      <c r="B147" s="14" t="s">
        <v>18</v>
      </c>
      <c r="C147" s="15">
        <v>26.4</v>
      </c>
      <c r="D147" s="13" t="s">
        <v>19</v>
      </c>
      <c r="E147" s="15">
        <v>22.74</v>
      </c>
      <c r="F147" s="15">
        <v>3.0</v>
      </c>
      <c r="G147" s="15">
        <v>3.0</v>
      </c>
      <c r="H147" s="15">
        <v>2.0</v>
      </c>
      <c r="I147" s="16">
        <v>0.120363648552826</v>
      </c>
      <c r="J147" s="17">
        <f>IFERROR(__xludf.DUMMYFUNCTION("INDEX(GOOGLEFINANCE(A147, ""open"", $J$1, $J$1), 2, 2)"),24.56)</f>
        <v>24.56</v>
      </c>
      <c r="K147" s="17">
        <f>IFERROR(__xludf.DUMMYFUNCTION("INDEX(GOOGLEFINANCE(A147, ""close"", $K$1, $K$1), 2, 2)"),23.15)</f>
        <v>23.15</v>
      </c>
      <c r="L147" s="8">
        <f t="shared" si="1"/>
        <v>-5.741042345</v>
      </c>
      <c r="M147" s="18">
        <f t="shared" si="2"/>
        <v>-57.41042345</v>
      </c>
      <c r="N147" s="18" t="str">
        <f t="shared" si="3"/>
        <v>Put Spread</v>
      </c>
      <c r="O147" s="18" t="str">
        <f t="shared" si="4"/>
        <v>Success</v>
      </c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</row>
    <row r="148">
      <c r="A148" s="13" t="s">
        <v>171</v>
      </c>
      <c r="B148" s="14" t="s">
        <v>18</v>
      </c>
      <c r="C148" s="15">
        <v>22.57</v>
      </c>
      <c r="D148" s="13" t="s">
        <v>19</v>
      </c>
      <c r="E148" s="15">
        <v>20.03</v>
      </c>
      <c r="F148" s="15">
        <v>3.0</v>
      </c>
      <c r="G148" s="15">
        <v>2.0</v>
      </c>
      <c r="H148" s="15">
        <v>4.0</v>
      </c>
      <c r="I148" s="16">
        <v>-2.1888925</v>
      </c>
      <c r="J148" s="17">
        <f>IFERROR(__xludf.DUMMYFUNCTION("INDEX(GOOGLEFINANCE(A148, ""open"", $J$1, $J$1), 2, 2)"),21.79)</f>
        <v>21.79</v>
      </c>
      <c r="K148" s="17">
        <f>IFERROR(__xludf.DUMMYFUNCTION("INDEX(GOOGLEFINANCE(A148, ""close"", $K$1, $K$1), 2, 2)"),20.54)</f>
        <v>20.54</v>
      </c>
      <c r="L148" s="20">
        <f t="shared" si="1"/>
        <v>-5.736576411</v>
      </c>
      <c r="M148" s="18">
        <f t="shared" si="2"/>
        <v>-57.36576411</v>
      </c>
      <c r="N148" s="18" t="str">
        <f t="shared" si="3"/>
        <v>Put Spread</v>
      </c>
      <c r="O148" s="18" t="str">
        <f t="shared" si="4"/>
        <v>Success</v>
      </c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</row>
    <row r="149">
      <c r="A149" s="13" t="s">
        <v>172</v>
      </c>
      <c r="B149" s="14" t="s">
        <v>18</v>
      </c>
      <c r="C149" s="15">
        <v>86.37</v>
      </c>
      <c r="D149" s="13" t="s">
        <v>19</v>
      </c>
      <c r="E149" s="15">
        <v>71.67</v>
      </c>
      <c r="F149" s="15">
        <v>5.0</v>
      </c>
      <c r="G149" s="15">
        <v>2.0</v>
      </c>
      <c r="H149" s="15">
        <v>2.0</v>
      </c>
      <c r="I149" s="16">
        <v>1.75307132566542</v>
      </c>
      <c r="J149" s="17">
        <f>IFERROR(__xludf.DUMMYFUNCTION("INDEX(GOOGLEFINANCE(A149, ""open"", $J$1, $J$1), 2, 2)"),76.79)</f>
        <v>76.79</v>
      </c>
      <c r="K149" s="17">
        <f>IFERROR(__xludf.DUMMYFUNCTION("INDEX(GOOGLEFINANCE(A149, ""close"", $K$1, $K$1), 2, 2)"),72.45)</f>
        <v>72.45</v>
      </c>
      <c r="L149" s="8">
        <f t="shared" si="1"/>
        <v>-5.651777575</v>
      </c>
      <c r="M149" s="18">
        <f t="shared" si="2"/>
        <v>-56.51777575</v>
      </c>
      <c r="N149" s="18" t="str">
        <f t="shared" si="3"/>
        <v>Put Spread</v>
      </c>
      <c r="O149" s="18" t="str">
        <f t="shared" si="4"/>
        <v>Success</v>
      </c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</row>
    <row r="150">
      <c r="A150" s="13" t="s">
        <v>173</v>
      </c>
      <c r="B150" s="14" t="s">
        <v>18</v>
      </c>
      <c r="C150" s="15">
        <v>114.32</v>
      </c>
      <c r="D150" s="13" t="s">
        <v>19</v>
      </c>
      <c r="E150" s="15">
        <v>95.38</v>
      </c>
      <c r="F150" s="15">
        <v>4.0</v>
      </c>
      <c r="G150" s="15">
        <v>3.0</v>
      </c>
      <c r="H150" s="15">
        <v>4.0</v>
      </c>
      <c r="I150" s="16">
        <v>0.0</v>
      </c>
      <c r="J150" s="17">
        <f>IFERROR(__xludf.DUMMYFUNCTION("INDEX(GOOGLEFINANCE(A150, ""open"", $J$1, $J$1), 2, 2)"),105.84)</f>
        <v>105.84</v>
      </c>
      <c r="K150" s="17">
        <f>IFERROR(__xludf.DUMMYFUNCTION("INDEX(GOOGLEFINANCE(A150, ""close"", $K$1, $K$1), 2, 2)"),99.9)</f>
        <v>99.9</v>
      </c>
      <c r="L150" s="8">
        <f t="shared" si="1"/>
        <v>-5.612244898</v>
      </c>
      <c r="M150" s="18">
        <f t="shared" si="2"/>
        <v>-56.12244898</v>
      </c>
      <c r="N150" s="18" t="str">
        <f t="shared" si="3"/>
        <v>Put Spread</v>
      </c>
      <c r="O150" s="18" t="str">
        <f t="shared" si="4"/>
        <v>Success</v>
      </c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</row>
    <row r="151">
      <c r="A151" s="13" t="s">
        <v>174</v>
      </c>
      <c r="B151" s="14" t="s">
        <v>18</v>
      </c>
      <c r="C151" s="15">
        <v>81.08</v>
      </c>
      <c r="D151" s="13" t="s">
        <v>19</v>
      </c>
      <c r="E151" s="15">
        <v>76.04</v>
      </c>
      <c r="F151" s="15">
        <v>2.0</v>
      </c>
      <c r="G151" s="15">
        <v>2.0</v>
      </c>
      <c r="H151" s="15">
        <v>4.0</v>
      </c>
      <c r="I151" s="16">
        <v>0.0</v>
      </c>
      <c r="J151" s="17">
        <f>IFERROR(__xludf.DUMMYFUNCTION("INDEX(GOOGLEFINANCE(A151, ""open"", $J$1, $J$1), 2, 2)"),78.41)</f>
        <v>78.41</v>
      </c>
      <c r="K151" s="17">
        <f>IFERROR(__xludf.DUMMYFUNCTION("INDEX(GOOGLEFINANCE(A151, ""close"", $K$1, $K$1), 2, 2)"),74.01)</f>
        <v>74.01</v>
      </c>
      <c r="L151" s="20">
        <f t="shared" si="1"/>
        <v>-5.611529142</v>
      </c>
      <c r="M151" s="18">
        <f t="shared" si="2"/>
        <v>-56.11529142</v>
      </c>
      <c r="N151" s="18" t="str">
        <f t="shared" si="3"/>
        <v>Put Spread</v>
      </c>
      <c r="O151" s="18" t="str">
        <f t="shared" si="4"/>
        <v>No</v>
      </c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</row>
    <row r="152">
      <c r="A152" s="13" t="s">
        <v>175</v>
      </c>
      <c r="B152" s="14" t="s">
        <v>18</v>
      </c>
      <c r="C152" s="15">
        <v>136.09</v>
      </c>
      <c r="D152" s="13" t="s">
        <v>19</v>
      </c>
      <c r="E152" s="15">
        <v>125.53</v>
      </c>
      <c r="F152" s="15">
        <v>4.0</v>
      </c>
      <c r="G152" s="15">
        <v>4.0</v>
      </c>
      <c r="H152" s="15">
        <v>3.0</v>
      </c>
      <c r="I152" s="16">
        <v>-0.9977865</v>
      </c>
      <c r="J152" s="17">
        <f>IFERROR(__xludf.DUMMYFUNCTION("INDEX(GOOGLEFINANCE(A152, ""open"", $J$1, $J$1), 2, 2)"),130.41)</f>
        <v>130.41</v>
      </c>
      <c r="K152" s="17">
        <f>IFERROR(__xludf.DUMMYFUNCTION("INDEX(GOOGLEFINANCE(A152, ""close"", $K$1, $K$1), 2, 2)"),123.1)</f>
        <v>123.1</v>
      </c>
      <c r="L152" s="8">
        <f t="shared" si="1"/>
        <v>-5.605398359</v>
      </c>
      <c r="M152" s="18">
        <f t="shared" si="2"/>
        <v>-56.05398359</v>
      </c>
      <c r="N152" s="18" t="str">
        <f t="shared" si="3"/>
        <v>Put Spread</v>
      </c>
      <c r="O152" s="18" t="str">
        <f t="shared" si="4"/>
        <v>No</v>
      </c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</row>
    <row r="153">
      <c r="A153" s="13" t="s">
        <v>176</v>
      </c>
      <c r="B153" s="14" t="s">
        <v>18</v>
      </c>
      <c r="C153" s="15">
        <v>1.89</v>
      </c>
      <c r="D153" s="13" t="s">
        <v>19</v>
      </c>
      <c r="E153" s="15">
        <v>1.01</v>
      </c>
      <c r="F153" s="15">
        <v>4.0</v>
      </c>
      <c r="G153" s="15">
        <v>3.0</v>
      </c>
      <c r="H153" s="15">
        <v>4.0</v>
      </c>
      <c r="I153" s="16">
        <v>0.0</v>
      </c>
      <c r="J153" s="17">
        <f>IFERROR(__xludf.DUMMYFUNCTION("INDEX(GOOGLEFINANCE(A153, ""open"", $J$1, $J$1), 2, 2)"),1.43)</f>
        <v>1.43</v>
      </c>
      <c r="K153" s="17">
        <f>IFERROR(__xludf.DUMMYFUNCTION("INDEX(GOOGLEFINANCE(A153, ""close"", $K$1, $K$1), 2, 2)"),1.35)</f>
        <v>1.35</v>
      </c>
      <c r="L153" s="20">
        <f t="shared" si="1"/>
        <v>-5.594405594</v>
      </c>
      <c r="M153" s="18">
        <f t="shared" si="2"/>
        <v>-55.94405594</v>
      </c>
      <c r="N153" s="18" t="str">
        <f t="shared" si="3"/>
        <v>Put Spread</v>
      </c>
      <c r="O153" s="18" t="str">
        <f t="shared" si="4"/>
        <v>Success</v>
      </c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</row>
    <row r="154">
      <c r="A154" s="13" t="s">
        <v>177</v>
      </c>
      <c r="B154" s="14" t="s">
        <v>18</v>
      </c>
      <c r="C154" s="15">
        <v>215.75</v>
      </c>
      <c r="D154" s="13" t="s">
        <v>19</v>
      </c>
      <c r="E154" s="15">
        <v>205.05</v>
      </c>
      <c r="F154" s="15">
        <v>5.0</v>
      </c>
      <c r="G154" s="15">
        <v>1.0</v>
      </c>
      <c r="H154" s="15">
        <v>1.0</v>
      </c>
      <c r="I154" s="16">
        <v>-1.0718163</v>
      </c>
      <c r="J154" s="17">
        <f>IFERROR(__xludf.DUMMYFUNCTION("INDEX(GOOGLEFINANCE(A154, ""open"", $J$1, $J$1), 2, 2)"),209.46)</f>
        <v>209.46</v>
      </c>
      <c r="K154" s="17">
        <f>IFERROR(__xludf.DUMMYFUNCTION("INDEX(GOOGLEFINANCE(A154, ""close"", $K$1, $K$1), 2, 2)"),197.78)</f>
        <v>197.78</v>
      </c>
      <c r="L154" s="8">
        <f t="shared" si="1"/>
        <v>-5.576243674</v>
      </c>
      <c r="M154" s="18">
        <f t="shared" si="2"/>
        <v>-55.76243674</v>
      </c>
      <c r="N154" s="18" t="str">
        <f t="shared" si="3"/>
        <v>Put Spread</v>
      </c>
      <c r="O154" s="18" t="str">
        <f t="shared" si="4"/>
        <v>No</v>
      </c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</row>
    <row r="155">
      <c r="A155" s="13" t="s">
        <v>178</v>
      </c>
      <c r="B155" s="14" t="s">
        <v>18</v>
      </c>
      <c r="C155" s="15">
        <v>321.48</v>
      </c>
      <c r="D155" s="13" t="s">
        <v>19</v>
      </c>
      <c r="E155" s="15">
        <v>301.74</v>
      </c>
      <c r="F155" s="15">
        <v>4.0</v>
      </c>
      <c r="G155" s="15">
        <v>0.0</v>
      </c>
      <c r="H155" s="15">
        <v>4.0</v>
      </c>
      <c r="I155" s="16">
        <v>0.0</v>
      </c>
      <c r="J155" s="17">
        <f>IFERROR(__xludf.DUMMYFUNCTION("INDEX(GOOGLEFINANCE(A155, ""open"", $J$1, $J$1), 2, 2)"),311.6)</f>
        <v>311.6</v>
      </c>
      <c r="K155" s="17">
        <f>IFERROR(__xludf.DUMMYFUNCTION("INDEX(GOOGLEFINANCE(A155, ""close"", $K$1, $K$1), 2, 2)"),294.27)</f>
        <v>294.27</v>
      </c>
      <c r="L155" s="8">
        <f t="shared" si="1"/>
        <v>-5.561617458</v>
      </c>
      <c r="M155" s="18">
        <f t="shared" si="2"/>
        <v>-55.61617458</v>
      </c>
      <c r="N155" s="18" t="str">
        <f t="shared" si="3"/>
        <v>Put Spread</v>
      </c>
      <c r="O155" s="18" t="str">
        <f t="shared" si="4"/>
        <v>No</v>
      </c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</row>
    <row r="156">
      <c r="A156" s="13" t="s">
        <v>179</v>
      </c>
      <c r="B156" s="14" t="s">
        <v>18</v>
      </c>
      <c r="C156" s="15">
        <v>41.37</v>
      </c>
      <c r="D156" s="13" t="s">
        <v>19</v>
      </c>
      <c r="E156" s="15">
        <v>32.43</v>
      </c>
      <c r="F156" s="15">
        <v>2.0</v>
      </c>
      <c r="G156" s="15">
        <v>3.0</v>
      </c>
      <c r="H156" s="15">
        <v>1.0</v>
      </c>
      <c r="I156" s="16">
        <v>-3.8048086</v>
      </c>
      <c r="J156" s="17">
        <f>IFERROR(__xludf.DUMMYFUNCTION("INDEX(GOOGLEFINANCE(A156, ""open"", $J$1, $J$1), 2, 2)"),37.08)</f>
        <v>37.08</v>
      </c>
      <c r="K156" s="17">
        <f>IFERROR(__xludf.DUMMYFUNCTION("INDEX(GOOGLEFINANCE(A156, ""close"", $K$1, $K$1), 2, 2)"),35.02)</f>
        <v>35.02</v>
      </c>
      <c r="L156" s="8">
        <f t="shared" si="1"/>
        <v>-5.555555556</v>
      </c>
      <c r="M156" s="18">
        <f t="shared" si="2"/>
        <v>-55.55555556</v>
      </c>
      <c r="N156" s="18" t="str">
        <f t="shared" si="3"/>
        <v>Put Spread</v>
      </c>
      <c r="O156" s="18" t="str">
        <f t="shared" si="4"/>
        <v>Success</v>
      </c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</row>
    <row r="157">
      <c r="A157" s="13" t="s">
        <v>180</v>
      </c>
      <c r="B157" s="14" t="s">
        <v>18</v>
      </c>
      <c r="C157" s="15">
        <v>78.41</v>
      </c>
      <c r="D157" s="13" t="s">
        <v>19</v>
      </c>
      <c r="E157" s="15">
        <v>74.13</v>
      </c>
      <c r="F157" s="15">
        <v>4.0</v>
      </c>
      <c r="G157" s="15">
        <v>1.0</v>
      </c>
      <c r="H157" s="15">
        <v>3.0</v>
      </c>
      <c r="I157" s="16">
        <v>0.0</v>
      </c>
      <c r="J157" s="17">
        <f>IFERROR(__xludf.DUMMYFUNCTION("INDEX(GOOGLEFINANCE(A157, ""open"", $J$1, $J$1), 2, 2)"),79.0)</f>
        <v>79</v>
      </c>
      <c r="K157" s="17">
        <f>IFERROR(__xludf.DUMMYFUNCTION("INDEX(GOOGLEFINANCE(A157, ""close"", $K$1, $K$1), 2, 2)"),74.62)</f>
        <v>74.62</v>
      </c>
      <c r="L157" s="8">
        <f t="shared" si="1"/>
        <v>-5.544303797</v>
      </c>
      <c r="M157" s="18">
        <f t="shared" si="2"/>
        <v>-55.44303797</v>
      </c>
      <c r="N157" s="18" t="str">
        <f t="shared" si="3"/>
        <v>Put Spread</v>
      </c>
      <c r="O157" s="18" t="str">
        <f t="shared" si="4"/>
        <v>Success</v>
      </c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</row>
    <row r="158">
      <c r="A158" s="13" t="s">
        <v>181</v>
      </c>
      <c r="B158" s="14" t="s">
        <v>18</v>
      </c>
      <c r="C158" s="15">
        <v>13.52</v>
      </c>
      <c r="D158" s="13" t="s">
        <v>19</v>
      </c>
      <c r="E158" s="15">
        <v>11.94</v>
      </c>
      <c r="F158" s="15">
        <v>2.0</v>
      </c>
      <c r="G158" s="15">
        <v>2.0</v>
      </c>
      <c r="H158" s="15">
        <v>2.0</v>
      </c>
      <c r="I158" s="16">
        <v>0.0</v>
      </c>
      <c r="J158" s="17">
        <f>IFERROR(__xludf.DUMMYFUNCTION("INDEX(GOOGLEFINANCE(A158, ""open"", $J$1, $J$1), 2, 2)"),12.75)</f>
        <v>12.75</v>
      </c>
      <c r="K158" s="17">
        <f>IFERROR(__xludf.DUMMYFUNCTION("INDEX(GOOGLEFINANCE(A158, ""close"", $K$1, $K$1), 2, 2)"),12.05)</f>
        <v>12.05</v>
      </c>
      <c r="L158" s="8">
        <f t="shared" si="1"/>
        <v>-5.490196078</v>
      </c>
      <c r="M158" s="18">
        <f t="shared" si="2"/>
        <v>-54.90196078</v>
      </c>
      <c r="N158" s="18" t="str">
        <f t="shared" si="3"/>
        <v>Put Spread</v>
      </c>
      <c r="O158" s="18" t="str">
        <f t="shared" si="4"/>
        <v>Success</v>
      </c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</row>
    <row r="159">
      <c r="A159" s="13" t="s">
        <v>182</v>
      </c>
      <c r="B159" s="14" t="s">
        <v>18</v>
      </c>
      <c r="C159" s="15">
        <v>7.68</v>
      </c>
      <c r="D159" s="13" t="s">
        <v>19</v>
      </c>
      <c r="E159" s="15">
        <v>4.6</v>
      </c>
      <c r="F159" s="15">
        <v>4.0</v>
      </c>
      <c r="G159" s="15">
        <v>4.0</v>
      </c>
      <c r="H159" s="15">
        <v>5.0</v>
      </c>
      <c r="I159" s="16">
        <v>0.0</v>
      </c>
      <c r="J159" s="17">
        <f>IFERROR(__xludf.DUMMYFUNCTION("INDEX(GOOGLEFINANCE(A159, ""open"", $J$1, $J$1), 2, 2)"),6.02)</f>
        <v>6.02</v>
      </c>
      <c r="K159" s="17">
        <f>IFERROR(__xludf.DUMMYFUNCTION("INDEX(GOOGLEFINANCE(A159, ""close"", $K$1, $K$1), 2, 2)"),5.69)</f>
        <v>5.69</v>
      </c>
      <c r="L159" s="8">
        <f t="shared" si="1"/>
        <v>-5.481727575</v>
      </c>
      <c r="M159" s="18">
        <f t="shared" si="2"/>
        <v>-54.81727575</v>
      </c>
      <c r="N159" s="18" t="str">
        <f t="shared" si="3"/>
        <v>Put Spread</v>
      </c>
      <c r="O159" s="18" t="str">
        <f t="shared" si="4"/>
        <v>Success</v>
      </c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</row>
    <row r="160">
      <c r="A160" s="13" t="s">
        <v>183</v>
      </c>
      <c r="B160" s="14" t="s">
        <v>18</v>
      </c>
      <c r="C160" s="15">
        <v>64.09</v>
      </c>
      <c r="D160" s="13" t="s">
        <v>19</v>
      </c>
      <c r="E160" s="15">
        <v>59.77</v>
      </c>
      <c r="F160" s="15">
        <v>5.0</v>
      </c>
      <c r="G160" s="15">
        <v>1.0</v>
      </c>
      <c r="H160" s="15">
        <v>3.0</v>
      </c>
      <c r="I160" s="16">
        <v>1.09972478702013</v>
      </c>
      <c r="J160" s="17">
        <f>IFERROR(__xludf.DUMMYFUNCTION("INDEX(GOOGLEFINANCE(A160, ""open"", $J$1, $J$1), 2, 2)"),62.23)</f>
        <v>62.23</v>
      </c>
      <c r="K160" s="17">
        <f>IFERROR(__xludf.DUMMYFUNCTION("INDEX(GOOGLEFINANCE(A160, ""close"", $K$1, $K$1), 2, 2)"),58.82)</f>
        <v>58.82</v>
      </c>
      <c r="L160" s="8">
        <f t="shared" si="1"/>
        <v>-5.479672184</v>
      </c>
      <c r="M160" s="18">
        <f t="shared" si="2"/>
        <v>-54.79672184</v>
      </c>
      <c r="N160" s="18" t="str">
        <f t="shared" si="3"/>
        <v>Put Spread</v>
      </c>
      <c r="O160" s="18" t="str">
        <f t="shared" si="4"/>
        <v>No</v>
      </c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</row>
    <row r="161">
      <c r="A161" s="13" t="s">
        <v>184</v>
      </c>
      <c r="B161" s="14" t="s">
        <v>18</v>
      </c>
      <c r="C161" s="15">
        <v>38.69</v>
      </c>
      <c r="D161" s="13" t="s">
        <v>19</v>
      </c>
      <c r="E161" s="15">
        <v>32.69</v>
      </c>
      <c r="F161" s="15">
        <v>5.0</v>
      </c>
      <c r="G161" s="15">
        <v>2.0</v>
      </c>
      <c r="H161" s="15">
        <v>4.0</v>
      </c>
      <c r="I161" s="16">
        <v>0.0</v>
      </c>
      <c r="J161" s="17">
        <f>IFERROR(__xludf.DUMMYFUNCTION("INDEX(GOOGLEFINANCE(A161, ""open"", $J$1, $J$1), 2, 2)"),35.39)</f>
        <v>35.39</v>
      </c>
      <c r="K161" s="17">
        <f>IFERROR(__xludf.DUMMYFUNCTION("INDEX(GOOGLEFINANCE(A161, ""close"", $K$1, $K$1), 2, 2)"),33.46)</f>
        <v>33.46</v>
      </c>
      <c r="L161" s="8">
        <f t="shared" si="1"/>
        <v>-5.453517943</v>
      </c>
      <c r="M161" s="18">
        <f t="shared" si="2"/>
        <v>-54.53517943</v>
      </c>
      <c r="N161" s="18" t="str">
        <f t="shared" si="3"/>
        <v>Put Spread</v>
      </c>
      <c r="O161" s="18" t="str">
        <f t="shared" si="4"/>
        <v>Success</v>
      </c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</row>
    <row r="162">
      <c r="A162" s="13" t="s">
        <v>185</v>
      </c>
      <c r="B162" s="14" t="s">
        <v>18</v>
      </c>
      <c r="C162" s="15">
        <v>221.73</v>
      </c>
      <c r="D162" s="13" t="s">
        <v>19</v>
      </c>
      <c r="E162" s="15">
        <v>206.03</v>
      </c>
      <c r="F162" s="15">
        <v>4.0</v>
      </c>
      <c r="G162" s="15">
        <v>2.0</v>
      </c>
      <c r="H162" s="15">
        <v>4.0</v>
      </c>
      <c r="I162" s="16">
        <v>0.0</v>
      </c>
      <c r="J162" s="17">
        <f>IFERROR(__xludf.DUMMYFUNCTION("INDEX(GOOGLEFINANCE(A162, ""open"", $J$1, $J$1), 2, 2)"),214.03)</f>
        <v>214.03</v>
      </c>
      <c r="K162" s="17">
        <f>IFERROR(__xludf.DUMMYFUNCTION("INDEX(GOOGLEFINANCE(A162, ""close"", $K$1, $K$1), 2, 2)"),202.38)</f>
        <v>202.38</v>
      </c>
      <c r="L162" s="8">
        <f t="shared" si="1"/>
        <v>-5.443162174</v>
      </c>
      <c r="M162" s="18">
        <f t="shared" si="2"/>
        <v>-54.43162174</v>
      </c>
      <c r="N162" s="18" t="str">
        <f t="shared" si="3"/>
        <v>Put Spread</v>
      </c>
      <c r="O162" s="18" t="str">
        <f t="shared" si="4"/>
        <v>No</v>
      </c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</row>
    <row r="163">
      <c r="A163" s="13" t="s">
        <v>186</v>
      </c>
      <c r="B163" s="14" t="s">
        <v>18</v>
      </c>
      <c r="C163" s="15">
        <v>252.32</v>
      </c>
      <c r="D163" s="13" t="s">
        <v>19</v>
      </c>
      <c r="E163" s="15">
        <v>238.0</v>
      </c>
      <c r="F163" s="15">
        <v>4.0</v>
      </c>
      <c r="G163" s="15">
        <v>3.0</v>
      </c>
      <c r="H163" s="15">
        <v>5.0</v>
      </c>
      <c r="I163" s="16">
        <v>0.0</v>
      </c>
      <c r="J163" s="17">
        <f>IFERROR(__xludf.DUMMYFUNCTION("INDEX(GOOGLEFINANCE(A163, ""open"", $J$1, $J$1), 2, 2)"),244.42)</f>
        <v>244.42</v>
      </c>
      <c r="K163" s="17">
        <f>IFERROR(__xludf.DUMMYFUNCTION("INDEX(GOOGLEFINANCE(A163, ""close"", $K$1, $K$1), 2, 2)"),231.21)</f>
        <v>231.21</v>
      </c>
      <c r="L163" s="8">
        <f t="shared" si="1"/>
        <v>-5.404631372</v>
      </c>
      <c r="M163" s="18">
        <f t="shared" si="2"/>
        <v>-54.04631372</v>
      </c>
      <c r="N163" s="18" t="str">
        <f t="shared" si="3"/>
        <v>Put Spread</v>
      </c>
      <c r="O163" s="18" t="str">
        <f t="shared" si="4"/>
        <v>No</v>
      </c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</row>
    <row r="164">
      <c r="A164" s="13" t="s">
        <v>187</v>
      </c>
      <c r="B164" s="14" t="s">
        <v>18</v>
      </c>
      <c r="C164" s="15">
        <v>310.54</v>
      </c>
      <c r="D164" s="13" t="s">
        <v>19</v>
      </c>
      <c r="E164" s="15">
        <v>287.94</v>
      </c>
      <c r="F164" s="15">
        <v>5.0</v>
      </c>
      <c r="G164" s="15">
        <v>3.0</v>
      </c>
      <c r="H164" s="15">
        <v>4.0</v>
      </c>
      <c r="I164" s="16">
        <v>0.495190812457011</v>
      </c>
      <c r="J164" s="17">
        <f>IFERROR(__xludf.DUMMYFUNCTION("INDEX(GOOGLEFINANCE(A164, ""open"", $J$1, $J$1), 2, 2)"),297.83)</f>
        <v>297.83</v>
      </c>
      <c r="K164" s="17">
        <f>IFERROR(__xludf.DUMMYFUNCTION("INDEX(GOOGLEFINANCE(A164, ""close"", $K$1, $K$1), 2, 2)"),281.75)</f>
        <v>281.75</v>
      </c>
      <c r="L164" s="8">
        <f t="shared" si="1"/>
        <v>-5.399053151</v>
      </c>
      <c r="M164" s="18">
        <f t="shared" si="2"/>
        <v>-53.99053151</v>
      </c>
      <c r="N164" s="18" t="str">
        <f t="shared" si="3"/>
        <v>Put Spread</v>
      </c>
      <c r="O164" s="18" t="str">
        <f t="shared" si="4"/>
        <v>No</v>
      </c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</row>
    <row r="165">
      <c r="A165" s="13" t="s">
        <v>188</v>
      </c>
      <c r="B165" s="14" t="s">
        <v>18</v>
      </c>
      <c r="C165" s="15">
        <v>69.5</v>
      </c>
      <c r="D165" s="13" t="s">
        <v>19</v>
      </c>
      <c r="E165" s="15">
        <v>62.06</v>
      </c>
      <c r="F165" s="15">
        <v>5.0</v>
      </c>
      <c r="G165" s="15">
        <v>4.0</v>
      </c>
      <c r="H165" s="15">
        <v>5.0</v>
      </c>
      <c r="I165" s="16">
        <v>-1.7129662</v>
      </c>
      <c r="J165" s="17">
        <f>IFERROR(__xludf.DUMMYFUNCTION("INDEX(GOOGLEFINANCE(A165, ""open"", $J$1, $J$1), 2, 2)"),65.94)</f>
        <v>65.94</v>
      </c>
      <c r="K165" s="17">
        <f>IFERROR(__xludf.DUMMYFUNCTION("INDEX(GOOGLEFINANCE(A165, ""close"", $K$1, $K$1), 2, 2)"),62.38)</f>
        <v>62.38</v>
      </c>
      <c r="L165" s="8">
        <f t="shared" si="1"/>
        <v>-5.398847437</v>
      </c>
      <c r="M165" s="18">
        <f t="shared" si="2"/>
        <v>-53.98847437</v>
      </c>
      <c r="N165" s="18" t="str">
        <f t="shared" si="3"/>
        <v>Put Spread</v>
      </c>
      <c r="O165" s="18" t="str">
        <f t="shared" si="4"/>
        <v>Success</v>
      </c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</row>
    <row r="166">
      <c r="A166" s="13" t="s">
        <v>189</v>
      </c>
      <c r="B166" s="14" t="s">
        <v>18</v>
      </c>
      <c r="C166" s="15">
        <v>25.12</v>
      </c>
      <c r="D166" s="13" t="s">
        <v>19</v>
      </c>
      <c r="E166" s="15">
        <v>21.54</v>
      </c>
      <c r="F166" s="15">
        <v>2.0</v>
      </c>
      <c r="G166" s="15">
        <v>1.0</v>
      </c>
      <c r="H166" s="15">
        <v>1.0</v>
      </c>
      <c r="I166" s="16">
        <v>-0.6553307</v>
      </c>
      <c r="J166" s="17">
        <f>IFERROR(__xludf.DUMMYFUNCTION("INDEX(GOOGLEFINANCE(A166, ""open"", $J$1, $J$1), 2, 2)"),23.35)</f>
        <v>23.35</v>
      </c>
      <c r="K166" s="17">
        <f>IFERROR(__xludf.DUMMYFUNCTION("INDEX(GOOGLEFINANCE(A166, ""close"", $K$1, $K$1), 2, 2)"),22.1)</f>
        <v>22.1</v>
      </c>
      <c r="L166" s="20">
        <f t="shared" si="1"/>
        <v>-5.353319058</v>
      </c>
      <c r="M166" s="18">
        <f t="shared" si="2"/>
        <v>-53.53319058</v>
      </c>
      <c r="N166" s="18" t="str">
        <f t="shared" si="3"/>
        <v>Put Spread</v>
      </c>
      <c r="O166" s="18" t="str">
        <f t="shared" si="4"/>
        <v>Success</v>
      </c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</row>
    <row r="167">
      <c r="A167" s="13" t="s">
        <v>190</v>
      </c>
      <c r="B167" s="14" t="s">
        <v>18</v>
      </c>
      <c r="C167" s="15">
        <v>15.63</v>
      </c>
      <c r="D167" s="13" t="s">
        <v>19</v>
      </c>
      <c r="E167" s="15">
        <v>12.97</v>
      </c>
      <c r="F167" s="15">
        <v>3.0</v>
      </c>
      <c r="G167" s="15">
        <v>3.0</v>
      </c>
      <c r="H167" s="15">
        <v>2.0</v>
      </c>
      <c r="I167" s="16">
        <v>0.0</v>
      </c>
      <c r="J167" s="17">
        <f>IFERROR(__xludf.DUMMYFUNCTION("INDEX(GOOGLEFINANCE(A167, ""open"", $J$1, $J$1), 2, 2)"),14.39)</f>
        <v>14.39</v>
      </c>
      <c r="K167" s="17">
        <f>IFERROR(__xludf.DUMMYFUNCTION("INDEX(GOOGLEFINANCE(A167, ""close"", $K$1, $K$1), 2, 2)"),13.62)</f>
        <v>13.62</v>
      </c>
      <c r="L167" s="8">
        <f t="shared" si="1"/>
        <v>-5.350938151</v>
      </c>
      <c r="M167" s="18">
        <f t="shared" si="2"/>
        <v>-53.50938151</v>
      </c>
      <c r="N167" s="18" t="str">
        <f t="shared" si="3"/>
        <v>Put Spread</v>
      </c>
      <c r="O167" s="18" t="str">
        <f t="shared" si="4"/>
        <v>Success</v>
      </c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</row>
    <row r="168">
      <c r="A168" s="13" t="s">
        <v>191</v>
      </c>
      <c r="B168" s="14" t="s">
        <v>18</v>
      </c>
      <c r="C168" s="15">
        <v>46.73</v>
      </c>
      <c r="D168" s="13" t="s">
        <v>19</v>
      </c>
      <c r="E168" s="15">
        <v>41.15</v>
      </c>
      <c r="F168" s="15">
        <v>2.0</v>
      </c>
      <c r="G168" s="15">
        <v>2.0</v>
      </c>
      <c r="H168" s="15">
        <v>2.0</v>
      </c>
      <c r="I168" s="16">
        <v>-0.9778656</v>
      </c>
      <c r="J168" s="17">
        <f>IFERROR(__xludf.DUMMYFUNCTION("INDEX(GOOGLEFINANCE(A168, ""open"", $J$1, $J$1), 2, 2)"),44.12)</f>
        <v>44.12</v>
      </c>
      <c r="K168" s="17">
        <f>IFERROR(__xludf.DUMMYFUNCTION("INDEX(GOOGLEFINANCE(A168, ""close"", $K$1, $K$1), 2, 2)"),41.79)</f>
        <v>41.79</v>
      </c>
      <c r="L168" s="8">
        <f t="shared" si="1"/>
        <v>-5.281051677</v>
      </c>
      <c r="M168" s="18">
        <f t="shared" si="2"/>
        <v>-52.81051677</v>
      </c>
      <c r="N168" s="18" t="str">
        <f t="shared" si="3"/>
        <v>Put Spread</v>
      </c>
      <c r="O168" s="18" t="str">
        <f t="shared" si="4"/>
        <v>Success</v>
      </c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</row>
    <row r="169">
      <c r="A169" s="13" t="s">
        <v>192</v>
      </c>
      <c r="B169" s="14" t="s">
        <v>18</v>
      </c>
      <c r="C169" s="15">
        <v>229.2</v>
      </c>
      <c r="D169" s="13" t="s">
        <v>19</v>
      </c>
      <c r="E169" s="15">
        <v>212.48</v>
      </c>
      <c r="F169" s="15">
        <v>4.0</v>
      </c>
      <c r="G169" s="15">
        <v>2.0</v>
      </c>
      <c r="H169" s="15">
        <v>3.0</v>
      </c>
      <c r="I169" s="16">
        <v>0.0</v>
      </c>
      <c r="J169" s="17">
        <f>IFERROR(__xludf.DUMMYFUNCTION("INDEX(GOOGLEFINANCE(A169, ""open"", $J$1, $J$1), 2, 2)"),220.87)</f>
        <v>220.87</v>
      </c>
      <c r="K169" s="17">
        <f>IFERROR(__xludf.DUMMYFUNCTION("INDEX(GOOGLEFINANCE(A169, ""close"", $K$1, $K$1), 2, 2)"),209.25)</f>
        <v>209.25</v>
      </c>
      <c r="L169" s="20">
        <f t="shared" si="1"/>
        <v>-5.261013266</v>
      </c>
      <c r="M169" s="18">
        <f t="shared" si="2"/>
        <v>-52.61013266</v>
      </c>
      <c r="N169" s="18" t="str">
        <f t="shared" si="3"/>
        <v>Put Spread</v>
      </c>
      <c r="O169" s="18" t="str">
        <f t="shared" si="4"/>
        <v>No</v>
      </c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</row>
    <row r="170">
      <c r="A170" s="13" t="s">
        <v>193</v>
      </c>
      <c r="B170" s="14" t="s">
        <v>18</v>
      </c>
      <c r="C170" s="15">
        <v>252.18</v>
      </c>
      <c r="D170" s="13" t="s">
        <v>19</v>
      </c>
      <c r="E170" s="15">
        <v>225.42</v>
      </c>
      <c r="F170" s="15">
        <v>5.0</v>
      </c>
      <c r="G170" s="15">
        <v>2.0</v>
      </c>
      <c r="H170" s="15">
        <v>5.0</v>
      </c>
      <c r="I170" s="16">
        <v>0.0</v>
      </c>
      <c r="J170" s="17">
        <f>IFERROR(__xludf.DUMMYFUNCTION("INDEX(GOOGLEFINANCE(A170, ""open"", $J$1, $J$1), 2, 2)"),239.0)</f>
        <v>239</v>
      </c>
      <c r="K170" s="17">
        <f>IFERROR(__xludf.DUMMYFUNCTION("INDEX(GOOGLEFINANCE(A170, ""close"", $K$1, $K$1), 2, 2)"),226.44)</f>
        <v>226.44</v>
      </c>
      <c r="L170" s="8">
        <f t="shared" si="1"/>
        <v>-5.255230126</v>
      </c>
      <c r="M170" s="18">
        <f t="shared" si="2"/>
        <v>-52.55230126</v>
      </c>
      <c r="N170" s="18" t="str">
        <f t="shared" si="3"/>
        <v>Put Spread</v>
      </c>
      <c r="O170" s="18" t="str">
        <f t="shared" si="4"/>
        <v>Success</v>
      </c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</row>
    <row r="171">
      <c r="A171" s="13" t="s">
        <v>194</v>
      </c>
      <c r="B171" s="14" t="s">
        <v>18</v>
      </c>
      <c r="C171" s="15">
        <v>9.0</v>
      </c>
      <c r="D171" s="13" t="s">
        <v>19</v>
      </c>
      <c r="E171" s="15">
        <v>7.86</v>
      </c>
      <c r="F171" s="15">
        <v>2.0</v>
      </c>
      <c r="G171" s="15">
        <v>2.0</v>
      </c>
      <c r="H171" s="15">
        <v>2.0</v>
      </c>
      <c r="I171" s="16">
        <v>0.0</v>
      </c>
      <c r="J171" s="17">
        <f>IFERROR(__xludf.DUMMYFUNCTION("INDEX(GOOGLEFINANCE(A171, ""open"", $J$1, $J$1), 2, 2)"),8.46)</f>
        <v>8.46</v>
      </c>
      <c r="K171" s="17">
        <f>IFERROR(__xludf.DUMMYFUNCTION("INDEX(GOOGLEFINANCE(A171, ""close"", $K$1, $K$1), 2, 2)"),8.02)</f>
        <v>8.02</v>
      </c>
      <c r="L171" s="8">
        <f t="shared" si="1"/>
        <v>-5.200945626</v>
      </c>
      <c r="M171" s="18">
        <f t="shared" si="2"/>
        <v>-52.00945626</v>
      </c>
      <c r="N171" s="18" t="str">
        <f t="shared" si="3"/>
        <v>Put Spread</v>
      </c>
      <c r="O171" s="18" t="str">
        <f t="shared" si="4"/>
        <v>Success</v>
      </c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</row>
    <row r="172">
      <c r="A172" s="13" t="s">
        <v>195</v>
      </c>
      <c r="B172" s="14" t="s">
        <v>18</v>
      </c>
      <c r="C172" s="15">
        <v>229.32</v>
      </c>
      <c r="D172" s="13" t="s">
        <v>19</v>
      </c>
      <c r="E172" s="15">
        <v>205.06</v>
      </c>
      <c r="F172" s="15">
        <v>5.0</v>
      </c>
      <c r="G172" s="15">
        <v>2.0</v>
      </c>
      <c r="H172" s="15">
        <v>4.0</v>
      </c>
      <c r="I172" s="16">
        <v>0.678896359268117</v>
      </c>
      <c r="J172" s="17">
        <f>IFERROR(__xludf.DUMMYFUNCTION("INDEX(GOOGLEFINANCE(A172, ""open"", $J$1, $J$1), 2, 2)"),218.11)</f>
        <v>218.11</v>
      </c>
      <c r="K172" s="17">
        <f>IFERROR(__xludf.DUMMYFUNCTION("INDEX(GOOGLEFINANCE(A172, ""close"", $K$1, $K$1), 2, 2)"),206.77)</f>
        <v>206.77</v>
      </c>
      <c r="L172" s="8">
        <f t="shared" si="1"/>
        <v>-5.199211407</v>
      </c>
      <c r="M172" s="18">
        <f t="shared" si="2"/>
        <v>-51.99211407</v>
      </c>
      <c r="N172" s="18" t="str">
        <f t="shared" si="3"/>
        <v>Put Spread</v>
      </c>
      <c r="O172" s="18" t="str">
        <f t="shared" si="4"/>
        <v>Success</v>
      </c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</row>
    <row r="173">
      <c r="A173" s="13" t="s">
        <v>196</v>
      </c>
      <c r="B173" s="14" t="s">
        <v>18</v>
      </c>
      <c r="C173" s="15">
        <v>201.69</v>
      </c>
      <c r="D173" s="13" t="s">
        <v>19</v>
      </c>
      <c r="E173" s="15">
        <v>190.41</v>
      </c>
      <c r="F173" s="15">
        <v>5.0</v>
      </c>
      <c r="G173" s="15">
        <v>1.0</v>
      </c>
      <c r="H173" s="15">
        <v>3.0</v>
      </c>
      <c r="I173" s="16">
        <v>0.0</v>
      </c>
      <c r="J173" s="17">
        <f>IFERROR(__xludf.DUMMYFUNCTION("INDEX(GOOGLEFINANCE(A173, ""open"", $J$1, $J$1), 2, 2)"),196.03)</f>
        <v>196.03</v>
      </c>
      <c r="K173" s="17">
        <f>IFERROR(__xludf.DUMMYFUNCTION("INDEX(GOOGLEFINANCE(A173, ""close"", $K$1, $K$1), 2, 2)"),185.88)</f>
        <v>185.88</v>
      </c>
      <c r="L173" s="8">
        <f t="shared" si="1"/>
        <v>-5.177778911</v>
      </c>
      <c r="M173" s="18">
        <f t="shared" si="2"/>
        <v>-51.77778911</v>
      </c>
      <c r="N173" s="18" t="str">
        <f t="shared" si="3"/>
        <v>Put Spread</v>
      </c>
      <c r="O173" s="18" t="str">
        <f t="shared" si="4"/>
        <v>No</v>
      </c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</row>
    <row r="174">
      <c r="A174" s="13" t="s">
        <v>197</v>
      </c>
      <c r="B174" s="14" t="s">
        <v>18</v>
      </c>
      <c r="C174" s="15">
        <v>497.17</v>
      </c>
      <c r="D174" s="13" t="s">
        <v>19</v>
      </c>
      <c r="E174" s="15">
        <v>438.67</v>
      </c>
      <c r="F174" s="15">
        <v>3.0</v>
      </c>
      <c r="G174" s="15">
        <v>2.0</v>
      </c>
      <c r="H174" s="15">
        <v>2.0</v>
      </c>
      <c r="I174" s="16">
        <v>0.0</v>
      </c>
      <c r="J174" s="17">
        <f>IFERROR(__xludf.DUMMYFUNCTION("INDEX(GOOGLEFINANCE(A174, ""open"", $J$1, $J$1), 2, 2)"),471.0)</f>
        <v>471</v>
      </c>
      <c r="K174" s="17">
        <f>IFERROR(__xludf.DUMMYFUNCTION("INDEX(GOOGLEFINANCE(A174, ""close"", $K$1, $K$1), 2, 2)"),446.66)</f>
        <v>446.66</v>
      </c>
      <c r="L174" s="8">
        <f t="shared" si="1"/>
        <v>-5.167728238</v>
      </c>
      <c r="M174" s="18">
        <f t="shared" si="2"/>
        <v>-51.67728238</v>
      </c>
      <c r="N174" s="18" t="str">
        <f t="shared" si="3"/>
        <v>Put Spread</v>
      </c>
      <c r="O174" s="18" t="str">
        <f t="shared" si="4"/>
        <v>Success</v>
      </c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</row>
    <row r="175">
      <c r="A175" s="13" t="s">
        <v>198</v>
      </c>
      <c r="B175" s="14" t="s">
        <v>18</v>
      </c>
      <c r="C175" s="15">
        <v>16.9</v>
      </c>
      <c r="D175" s="13" t="s">
        <v>19</v>
      </c>
      <c r="E175" s="15">
        <v>14.08</v>
      </c>
      <c r="F175" s="15">
        <v>5.0</v>
      </c>
      <c r="G175" s="15">
        <v>2.0</v>
      </c>
      <c r="H175" s="15">
        <v>4.0</v>
      </c>
      <c r="I175" s="16">
        <v>1.89315399660235</v>
      </c>
      <c r="J175" s="17">
        <f>IFERROR(__xludf.DUMMYFUNCTION("INDEX(GOOGLEFINANCE(A175, ""open"", $J$1, $J$1), 2, 2)"),15.33)</f>
        <v>15.33</v>
      </c>
      <c r="K175" s="17">
        <f>IFERROR(__xludf.DUMMYFUNCTION("INDEX(GOOGLEFINANCE(A175, ""close"", $K$1, $K$1), 2, 2)"),14.54)</f>
        <v>14.54</v>
      </c>
      <c r="L175" s="8">
        <f t="shared" si="1"/>
        <v>-5.153294194</v>
      </c>
      <c r="M175" s="18">
        <f t="shared" si="2"/>
        <v>-51.53294194</v>
      </c>
      <c r="N175" s="18" t="str">
        <f t="shared" si="3"/>
        <v>Put Spread</v>
      </c>
      <c r="O175" s="18" t="str">
        <f t="shared" si="4"/>
        <v>Success</v>
      </c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</row>
    <row r="176">
      <c r="A176" s="13" t="s">
        <v>199</v>
      </c>
      <c r="B176" s="14" t="s">
        <v>18</v>
      </c>
      <c r="C176" s="15">
        <v>128.39</v>
      </c>
      <c r="D176" s="13" t="s">
        <v>19</v>
      </c>
      <c r="E176" s="15">
        <v>120.93</v>
      </c>
      <c r="F176" s="15">
        <v>2.0</v>
      </c>
      <c r="G176" s="15">
        <v>1.0</v>
      </c>
      <c r="H176" s="15">
        <v>5.0</v>
      </c>
      <c r="I176" s="16">
        <v>0.0</v>
      </c>
      <c r="J176" s="17">
        <f>IFERROR(__xludf.DUMMYFUNCTION("INDEX(GOOGLEFINANCE(A176, ""open"", $J$1, $J$1), 2, 2)"),125.17)</f>
        <v>125.17</v>
      </c>
      <c r="K176" s="17">
        <f>IFERROR(__xludf.DUMMYFUNCTION("INDEX(GOOGLEFINANCE(A176, ""close"", $K$1, $K$1), 2, 2)"),118.75)</f>
        <v>118.75</v>
      </c>
      <c r="L176" s="8">
        <f t="shared" si="1"/>
        <v>-5.129024527</v>
      </c>
      <c r="M176" s="18">
        <f t="shared" si="2"/>
        <v>-51.29024527</v>
      </c>
      <c r="N176" s="18" t="str">
        <f t="shared" si="3"/>
        <v>Put Spread</v>
      </c>
      <c r="O176" s="18" t="str">
        <f t="shared" si="4"/>
        <v>No</v>
      </c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</row>
    <row r="177">
      <c r="A177" s="13" t="s">
        <v>200</v>
      </c>
      <c r="B177" s="14" t="s">
        <v>18</v>
      </c>
      <c r="C177" s="15">
        <v>188.18</v>
      </c>
      <c r="D177" s="13" t="s">
        <v>19</v>
      </c>
      <c r="E177" s="15">
        <v>165.68</v>
      </c>
      <c r="F177" s="15">
        <v>4.0</v>
      </c>
      <c r="G177" s="15">
        <v>3.0</v>
      </c>
      <c r="H177" s="15">
        <v>4.0</v>
      </c>
      <c r="I177" s="16">
        <v>0.0</v>
      </c>
      <c r="J177" s="17">
        <f>IFERROR(__xludf.DUMMYFUNCTION("INDEX(GOOGLEFINANCE(A177, ""open"", $J$1, $J$1), 2, 2)"),175.86)</f>
        <v>175.86</v>
      </c>
      <c r="K177" s="17">
        <f>IFERROR(__xludf.DUMMYFUNCTION("INDEX(GOOGLEFINANCE(A177, ""close"", $K$1, $K$1), 2, 2)"),166.91)</f>
        <v>166.91</v>
      </c>
      <c r="L177" s="8">
        <f t="shared" si="1"/>
        <v>-5.08927556</v>
      </c>
      <c r="M177" s="18">
        <f t="shared" si="2"/>
        <v>-50.8927556</v>
      </c>
      <c r="N177" s="18" t="str">
        <f t="shared" si="3"/>
        <v>Put Spread</v>
      </c>
      <c r="O177" s="18" t="str">
        <f t="shared" si="4"/>
        <v>Success</v>
      </c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</row>
    <row r="178">
      <c r="A178" s="13" t="s">
        <v>201</v>
      </c>
      <c r="B178" s="14" t="s">
        <v>18</v>
      </c>
      <c r="C178" s="15">
        <v>37.95</v>
      </c>
      <c r="D178" s="13" t="s">
        <v>19</v>
      </c>
      <c r="E178" s="15">
        <v>35.11</v>
      </c>
      <c r="F178" s="15">
        <v>3.0</v>
      </c>
      <c r="G178" s="15">
        <v>1.0</v>
      </c>
      <c r="H178" s="15">
        <v>3.0</v>
      </c>
      <c r="I178" s="16">
        <v>-1.2448151</v>
      </c>
      <c r="J178" s="17">
        <f>IFERROR(__xludf.DUMMYFUNCTION("INDEX(GOOGLEFINANCE(A178, ""open"", $J$1, $J$1), 2, 2)"),36.96)</f>
        <v>36.96</v>
      </c>
      <c r="K178" s="17">
        <f>IFERROR(__xludf.DUMMYFUNCTION("INDEX(GOOGLEFINANCE(A178, ""close"", $K$1, $K$1), 2, 2)"),35.08)</f>
        <v>35.08</v>
      </c>
      <c r="L178" s="8">
        <f t="shared" si="1"/>
        <v>-5.086580087</v>
      </c>
      <c r="M178" s="18">
        <f t="shared" si="2"/>
        <v>-50.86580087</v>
      </c>
      <c r="N178" s="18" t="str">
        <f t="shared" si="3"/>
        <v>Put Spread</v>
      </c>
      <c r="O178" s="18" t="str">
        <f t="shared" si="4"/>
        <v>No</v>
      </c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</row>
    <row r="179">
      <c r="A179" s="13" t="s">
        <v>202</v>
      </c>
      <c r="B179" s="14" t="s">
        <v>18</v>
      </c>
      <c r="C179" s="15">
        <v>199.4</v>
      </c>
      <c r="D179" s="13" t="s">
        <v>19</v>
      </c>
      <c r="E179" s="15">
        <v>175.28</v>
      </c>
      <c r="F179" s="15">
        <v>5.0</v>
      </c>
      <c r="G179" s="15">
        <v>3.0</v>
      </c>
      <c r="H179" s="15">
        <v>4.0</v>
      </c>
      <c r="I179" s="16">
        <v>0.0</v>
      </c>
      <c r="J179" s="17">
        <f>IFERROR(__xludf.DUMMYFUNCTION("INDEX(GOOGLEFINANCE(A179, ""open"", $J$1, $J$1), 2, 2)"),187.53)</f>
        <v>187.53</v>
      </c>
      <c r="K179" s="17">
        <f>IFERROR(__xludf.DUMMYFUNCTION("INDEX(GOOGLEFINANCE(A179, ""close"", $K$1, $K$1), 2, 2)"),178.06)</f>
        <v>178.06</v>
      </c>
      <c r="L179" s="8">
        <f t="shared" si="1"/>
        <v>-5.049858689</v>
      </c>
      <c r="M179" s="18">
        <f t="shared" si="2"/>
        <v>-50.49858689</v>
      </c>
      <c r="N179" s="18" t="str">
        <f t="shared" si="3"/>
        <v>Put Spread</v>
      </c>
      <c r="O179" s="18" t="str">
        <f t="shared" si="4"/>
        <v>Success</v>
      </c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</row>
    <row r="180">
      <c r="A180" s="13" t="s">
        <v>203</v>
      </c>
      <c r="B180" s="14" t="s">
        <v>18</v>
      </c>
      <c r="C180" s="15">
        <v>47.63</v>
      </c>
      <c r="D180" s="13" t="s">
        <v>19</v>
      </c>
      <c r="E180" s="15">
        <v>45.01</v>
      </c>
      <c r="F180" s="15">
        <v>4.0</v>
      </c>
      <c r="G180" s="15">
        <v>1.0</v>
      </c>
      <c r="H180" s="15">
        <v>3.0</v>
      </c>
      <c r="I180" s="16">
        <v>0.0</v>
      </c>
      <c r="J180" s="17">
        <f>IFERROR(__xludf.DUMMYFUNCTION("INDEX(GOOGLEFINANCE(A180, ""open"", $J$1, $J$1), 2, 2)"),46.25)</f>
        <v>46.25</v>
      </c>
      <c r="K180" s="17">
        <f>IFERROR(__xludf.DUMMYFUNCTION("INDEX(GOOGLEFINANCE(A180, ""close"", $K$1, $K$1), 2, 2)"),43.94)</f>
        <v>43.94</v>
      </c>
      <c r="L180" s="8">
        <f t="shared" si="1"/>
        <v>-4.994594595</v>
      </c>
      <c r="M180" s="18">
        <f t="shared" si="2"/>
        <v>-49.94594595</v>
      </c>
      <c r="N180" s="18" t="str">
        <f t="shared" si="3"/>
        <v>Put Spread</v>
      </c>
      <c r="O180" s="18" t="str">
        <f t="shared" si="4"/>
        <v>No</v>
      </c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</row>
    <row r="181">
      <c r="A181" s="13" t="s">
        <v>204</v>
      </c>
      <c r="B181" s="14" t="s">
        <v>18</v>
      </c>
      <c r="C181" s="15">
        <v>32.82</v>
      </c>
      <c r="D181" s="13" t="s">
        <v>19</v>
      </c>
      <c r="E181" s="15">
        <v>27.68</v>
      </c>
      <c r="F181" s="15">
        <v>5.0</v>
      </c>
      <c r="G181" s="15">
        <v>4.0</v>
      </c>
      <c r="H181" s="15">
        <v>3.0</v>
      </c>
      <c r="I181" s="16">
        <v>0.0</v>
      </c>
      <c r="J181" s="17">
        <f>IFERROR(__xludf.DUMMYFUNCTION("INDEX(GOOGLEFINANCE(A181, ""open"", $J$1, $J$1), 2, 2)"),30.25)</f>
        <v>30.25</v>
      </c>
      <c r="K181" s="17">
        <f>IFERROR(__xludf.DUMMYFUNCTION("INDEX(GOOGLEFINANCE(A181, ""close"", $K$1, $K$1), 2, 2)"),28.74)</f>
        <v>28.74</v>
      </c>
      <c r="L181" s="8">
        <f t="shared" si="1"/>
        <v>-4.991735537</v>
      </c>
      <c r="M181" s="18">
        <f t="shared" si="2"/>
        <v>-49.91735537</v>
      </c>
      <c r="N181" s="18" t="str">
        <f t="shared" si="3"/>
        <v>Put Spread</v>
      </c>
      <c r="O181" s="18" t="str">
        <f t="shared" si="4"/>
        <v>Success</v>
      </c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</row>
    <row r="182">
      <c r="A182" s="13" t="s">
        <v>205</v>
      </c>
      <c r="B182" s="14" t="s">
        <v>18</v>
      </c>
      <c r="C182" s="15">
        <v>44.49</v>
      </c>
      <c r="D182" s="13" t="s">
        <v>19</v>
      </c>
      <c r="E182" s="15">
        <v>38.15</v>
      </c>
      <c r="F182" s="15">
        <v>5.0</v>
      </c>
      <c r="G182" s="15">
        <v>2.0</v>
      </c>
      <c r="H182" s="15">
        <v>4.0</v>
      </c>
      <c r="I182" s="16">
        <v>0.0</v>
      </c>
      <c r="J182" s="17">
        <f>IFERROR(__xludf.DUMMYFUNCTION("INDEX(GOOGLEFINANCE(A182, ""open"", $J$1, $J$1), 2, 2)"),41.5)</f>
        <v>41.5</v>
      </c>
      <c r="K182" s="17">
        <f>IFERROR(__xludf.DUMMYFUNCTION("INDEX(GOOGLEFINANCE(A182, ""close"", $K$1, $K$1), 2, 2)"),39.43)</f>
        <v>39.43</v>
      </c>
      <c r="L182" s="8">
        <f t="shared" si="1"/>
        <v>-4.987951807</v>
      </c>
      <c r="M182" s="18">
        <f t="shared" si="2"/>
        <v>-49.87951807</v>
      </c>
      <c r="N182" s="18" t="str">
        <f t="shared" si="3"/>
        <v>Put Spread</v>
      </c>
      <c r="O182" s="18" t="str">
        <f t="shared" si="4"/>
        <v>Success</v>
      </c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</row>
    <row r="183">
      <c r="A183" s="13" t="s">
        <v>206</v>
      </c>
      <c r="B183" s="14" t="s">
        <v>18</v>
      </c>
      <c r="C183" s="15">
        <v>336.49</v>
      </c>
      <c r="D183" s="13" t="s">
        <v>19</v>
      </c>
      <c r="E183" s="15">
        <v>295.63</v>
      </c>
      <c r="F183" s="15">
        <v>3.0</v>
      </c>
      <c r="G183" s="15">
        <v>0.0</v>
      </c>
      <c r="H183" s="15">
        <v>3.0</v>
      </c>
      <c r="I183" s="16">
        <v>-1.0302138</v>
      </c>
      <c r="J183" s="17">
        <f>IFERROR(__xludf.DUMMYFUNCTION("INDEX(GOOGLEFINANCE(A183, ""open"", $J$1, $J$1), 2, 2)"),318.45)</f>
        <v>318.45</v>
      </c>
      <c r="K183" s="17">
        <f>IFERROR(__xludf.DUMMYFUNCTION("INDEX(GOOGLEFINANCE(A183, ""close"", $K$1, $K$1), 2, 2)"),302.63)</f>
        <v>302.63</v>
      </c>
      <c r="L183" s="8">
        <f t="shared" si="1"/>
        <v>-4.967812843</v>
      </c>
      <c r="M183" s="18">
        <f t="shared" si="2"/>
        <v>-49.67812843</v>
      </c>
      <c r="N183" s="18" t="str">
        <f t="shared" si="3"/>
        <v>Put Spread</v>
      </c>
      <c r="O183" s="18" t="str">
        <f t="shared" si="4"/>
        <v>Success</v>
      </c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</row>
    <row r="184">
      <c r="A184" s="13" t="s">
        <v>207</v>
      </c>
      <c r="B184" s="14" t="s">
        <v>18</v>
      </c>
      <c r="C184" s="15">
        <v>128.81</v>
      </c>
      <c r="D184" s="13" t="s">
        <v>19</v>
      </c>
      <c r="E184" s="15">
        <v>118.09</v>
      </c>
      <c r="F184" s="15">
        <v>3.0</v>
      </c>
      <c r="G184" s="15">
        <v>1.0</v>
      </c>
      <c r="H184" s="15">
        <v>4.0</v>
      </c>
      <c r="I184" s="16">
        <v>-0.9801658</v>
      </c>
      <c r="J184" s="17">
        <f>IFERROR(__xludf.DUMMYFUNCTION("INDEX(GOOGLEFINANCE(A184, ""open"", $J$1, $J$1), 2, 2)"),124.02)</f>
        <v>124.02</v>
      </c>
      <c r="K184" s="17">
        <f>IFERROR(__xludf.DUMMYFUNCTION("INDEX(GOOGLEFINANCE(A184, ""close"", $K$1, $K$1), 2, 2)"),117.87)</f>
        <v>117.87</v>
      </c>
      <c r="L184" s="8">
        <f t="shared" si="1"/>
        <v>-4.9588776</v>
      </c>
      <c r="M184" s="18">
        <f t="shared" si="2"/>
        <v>-49.588776</v>
      </c>
      <c r="N184" s="18" t="str">
        <f t="shared" si="3"/>
        <v>Put Spread</v>
      </c>
      <c r="O184" s="18" t="str">
        <f t="shared" si="4"/>
        <v>No</v>
      </c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</row>
    <row r="185">
      <c r="A185" s="13" t="s">
        <v>208</v>
      </c>
      <c r="B185" s="14" t="s">
        <v>18</v>
      </c>
      <c r="C185" s="15">
        <v>19.76</v>
      </c>
      <c r="D185" s="13" t="s">
        <v>19</v>
      </c>
      <c r="E185" s="15">
        <v>17.38</v>
      </c>
      <c r="F185" s="15">
        <v>5.0</v>
      </c>
      <c r="G185" s="15">
        <v>2.0</v>
      </c>
      <c r="H185" s="15">
        <v>4.0</v>
      </c>
      <c r="I185" s="16">
        <v>0.0</v>
      </c>
      <c r="J185" s="17">
        <f>IFERROR(__xludf.DUMMYFUNCTION("INDEX(GOOGLEFINANCE(A185, ""open"", $J$1, $J$1), 2, 2)"),18.57)</f>
        <v>18.57</v>
      </c>
      <c r="K185" s="17">
        <f>IFERROR(__xludf.DUMMYFUNCTION("INDEX(GOOGLEFINANCE(A185, ""close"", $K$1, $K$1), 2, 2)"),17.65)</f>
        <v>17.65</v>
      </c>
      <c r="L185" s="20">
        <f t="shared" si="1"/>
        <v>-4.954227248</v>
      </c>
      <c r="M185" s="18">
        <f t="shared" si="2"/>
        <v>-49.54227248</v>
      </c>
      <c r="N185" s="18" t="str">
        <f t="shared" si="3"/>
        <v>Put Spread</v>
      </c>
      <c r="O185" s="18" t="str">
        <f t="shared" si="4"/>
        <v>Success</v>
      </c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</row>
    <row r="186">
      <c r="A186" s="13" t="s">
        <v>209</v>
      </c>
      <c r="B186" s="14" t="s">
        <v>18</v>
      </c>
      <c r="C186" s="15">
        <v>125.52</v>
      </c>
      <c r="D186" s="13" t="s">
        <v>19</v>
      </c>
      <c r="E186" s="15">
        <v>114.84</v>
      </c>
      <c r="F186" s="15">
        <v>5.0</v>
      </c>
      <c r="G186" s="15">
        <v>1.0</v>
      </c>
      <c r="H186" s="15">
        <v>3.0</v>
      </c>
      <c r="I186" s="16">
        <v>0.0</v>
      </c>
      <c r="J186" s="17">
        <f>IFERROR(__xludf.DUMMYFUNCTION("INDEX(GOOGLEFINANCE(A186, ""open"", $J$1, $J$1), 2, 2)"),119.41)</f>
        <v>119.41</v>
      </c>
      <c r="K186" s="17">
        <f>IFERROR(__xludf.DUMMYFUNCTION("INDEX(GOOGLEFINANCE(A186, ""close"", $K$1, $K$1), 2, 2)"),113.5)</f>
        <v>113.5</v>
      </c>
      <c r="L186" s="8">
        <f t="shared" si="1"/>
        <v>-4.949334227</v>
      </c>
      <c r="M186" s="18">
        <f t="shared" si="2"/>
        <v>-49.49334227</v>
      </c>
      <c r="N186" s="18" t="str">
        <f t="shared" si="3"/>
        <v>Put Spread</v>
      </c>
      <c r="O186" s="18" t="str">
        <f t="shared" si="4"/>
        <v>No</v>
      </c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</row>
    <row r="187">
      <c r="A187" s="13" t="s">
        <v>210</v>
      </c>
      <c r="B187" s="14" t="s">
        <v>18</v>
      </c>
      <c r="C187" s="15">
        <v>14.31</v>
      </c>
      <c r="D187" s="13" t="s">
        <v>19</v>
      </c>
      <c r="E187" s="15">
        <v>12.67</v>
      </c>
      <c r="F187" s="15">
        <v>5.0</v>
      </c>
      <c r="G187" s="15">
        <v>2.0</v>
      </c>
      <c r="H187" s="15">
        <v>5.0</v>
      </c>
      <c r="I187" s="16">
        <v>0.0</v>
      </c>
      <c r="J187" s="17">
        <f>IFERROR(__xludf.DUMMYFUNCTION("INDEX(GOOGLEFINANCE(A187, ""open"", $J$1, $J$1), 2, 2)"),13.54)</f>
        <v>13.54</v>
      </c>
      <c r="K187" s="17">
        <f>IFERROR(__xludf.DUMMYFUNCTION("INDEX(GOOGLEFINANCE(A187, ""close"", $K$1, $K$1), 2, 2)"),12.87)</f>
        <v>12.87</v>
      </c>
      <c r="L187" s="8">
        <f t="shared" si="1"/>
        <v>-4.948301329</v>
      </c>
      <c r="M187" s="18">
        <f t="shared" si="2"/>
        <v>-49.48301329</v>
      </c>
      <c r="N187" s="18" t="str">
        <f t="shared" si="3"/>
        <v>Put Spread</v>
      </c>
      <c r="O187" s="18" t="str">
        <f t="shared" si="4"/>
        <v>Success</v>
      </c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</row>
    <row r="188">
      <c r="A188" s="13" t="s">
        <v>211</v>
      </c>
      <c r="B188" s="14" t="s">
        <v>18</v>
      </c>
      <c r="C188" s="15">
        <v>105.28</v>
      </c>
      <c r="D188" s="13" t="s">
        <v>19</v>
      </c>
      <c r="E188" s="15">
        <v>97.86</v>
      </c>
      <c r="F188" s="15">
        <v>5.0</v>
      </c>
      <c r="G188" s="15">
        <v>1.0</v>
      </c>
      <c r="H188" s="15">
        <v>4.0</v>
      </c>
      <c r="I188" s="16">
        <v>-1.640491</v>
      </c>
      <c r="J188" s="17">
        <f>IFERROR(__xludf.DUMMYFUNCTION("INDEX(GOOGLEFINANCE(A188, ""open"", $J$1, $J$1), 2, 2)"),101.49)</f>
        <v>101.49</v>
      </c>
      <c r="K188" s="17">
        <f>IFERROR(__xludf.DUMMYFUNCTION("INDEX(GOOGLEFINANCE(A188, ""close"", $K$1, $K$1), 2, 2)"),96.48)</f>
        <v>96.48</v>
      </c>
      <c r="L188" s="8">
        <f t="shared" si="1"/>
        <v>-4.936446941</v>
      </c>
      <c r="M188" s="18">
        <f t="shared" si="2"/>
        <v>-49.36446941</v>
      </c>
      <c r="N188" s="18" t="str">
        <f t="shared" si="3"/>
        <v>Put Spread</v>
      </c>
      <c r="O188" s="18" t="str">
        <f t="shared" si="4"/>
        <v>No</v>
      </c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</row>
    <row r="189">
      <c r="A189" s="13" t="s">
        <v>212</v>
      </c>
      <c r="B189" s="14" t="s">
        <v>18</v>
      </c>
      <c r="C189" s="15">
        <v>116.68</v>
      </c>
      <c r="D189" s="13" t="s">
        <v>19</v>
      </c>
      <c r="E189" s="15">
        <v>106.78</v>
      </c>
      <c r="F189" s="15">
        <v>3.0</v>
      </c>
      <c r="G189" s="15">
        <v>3.0</v>
      </c>
      <c r="H189" s="15">
        <v>5.0</v>
      </c>
      <c r="I189" s="16">
        <v>0.0</v>
      </c>
      <c r="J189" s="17">
        <f>IFERROR(__xludf.DUMMYFUNCTION("INDEX(GOOGLEFINANCE(A189, ""open"", $J$1, $J$1), 2, 2)"),112.0)</f>
        <v>112</v>
      </c>
      <c r="K189" s="17">
        <f>IFERROR(__xludf.DUMMYFUNCTION("INDEX(GOOGLEFINANCE(A189, ""close"", $K$1, $K$1), 2, 2)"),106.48)</f>
        <v>106.48</v>
      </c>
      <c r="L189" s="8">
        <f t="shared" si="1"/>
        <v>-4.928571429</v>
      </c>
      <c r="M189" s="18">
        <f t="shared" si="2"/>
        <v>-49.28571429</v>
      </c>
      <c r="N189" s="18" t="str">
        <f t="shared" si="3"/>
        <v>Put Spread</v>
      </c>
      <c r="O189" s="18" t="str">
        <f t="shared" si="4"/>
        <v>No</v>
      </c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</row>
    <row r="190">
      <c r="A190" s="13" t="s">
        <v>213</v>
      </c>
      <c r="B190" s="14" t="s">
        <v>18</v>
      </c>
      <c r="C190" s="15">
        <v>96.06</v>
      </c>
      <c r="D190" s="13" t="s">
        <v>19</v>
      </c>
      <c r="E190" s="15">
        <v>85.54</v>
      </c>
      <c r="F190" s="15">
        <v>5.0</v>
      </c>
      <c r="G190" s="15">
        <v>3.0</v>
      </c>
      <c r="H190" s="15">
        <v>4.0</v>
      </c>
      <c r="I190" s="16">
        <v>2.1719040383966</v>
      </c>
      <c r="J190" s="17">
        <f>IFERROR(__xludf.DUMMYFUNCTION("INDEX(GOOGLEFINANCE(A190, ""open"", $J$1, $J$1), 2, 2)"),90.59)</f>
        <v>90.59</v>
      </c>
      <c r="K190" s="17">
        <f>IFERROR(__xludf.DUMMYFUNCTION("INDEX(GOOGLEFINANCE(A190, ""close"", $K$1, $K$1), 2, 2)"),87.87)</f>
        <v>87.87</v>
      </c>
      <c r="L190" s="8">
        <f t="shared" si="1"/>
        <v>-3.002538912</v>
      </c>
      <c r="M190" s="18">
        <f t="shared" si="2"/>
        <v>-30.02538912</v>
      </c>
      <c r="N190" s="18" t="str">
        <f t="shared" si="3"/>
        <v>Put Spread</v>
      </c>
      <c r="O190" s="18" t="str">
        <f t="shared" si="4"/>
        <v>Success</v>
      </c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</row>
    <row r="191">
      <c r="A191" s="13" t="s">
        <v>214</v>
      </c>
      <c r="B191" s="14" t="s">
        <v>18</v>
      </c>
      <c r="C191" s="15">
        <v>152.6</v>
      </c>
      <c r="D191" s="13" t="s">
        <v>19</v>
      </c>
      <c r="E191" s="15">
        <v>139.06</v>
      </c>
      <c r="F191" s="15">
        <v>4.0</v>
      </c>
      <c r="G191" s="15">
        <v>2.0</v>
      </c>
      <c r="H191" s="15">
        <v>3.0</v>
      </c>
      <c r="I191" s="16">
        <v>0.0</v>
      </c>
      <c r="J191" s="17">
        <f>IFERROR(__xludf.DUMMYFUNCTION("INDEX(GOOGLEFINANCE(A191, ""open"", $J$1, $J$1), 2, 2)"),145.83)</f>
        <v>145.83</v>
      </c>
      <c r="K191" s="17">
        <f>IFERROR(__xludf.DUMMYFUNCTION("INDEX(GOOGLEFINANCE(A191, ""close"", $K$1, $K$1), 2, 2)"),138.67)</f>
        <v>138.67</v>
      </c>
      <c r="L191" s="20">
        <f t="shared" si="1"/>
        <v>-4.90982651</v>
      </c>
      <c r="M191" s="18">
        <f t="shared" si="2"/>
        <v>-49.0982651</v>
      </c>
      <c r="N191" s="18" t="str">
        <f t="shared" si="3"/>
        <v>Put Spread</v>
      </c>
      <c r="O191" s="18" t="str">
        <f t="shared" si="4"/>
        <v>No</v>
      </c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</row>
    <row r="192">
      <c r="A192" s="13" t="s">
        <v>215</v>
      </c>
      <c r="B192" s="14" t="s">
        <v>18</v>
      </c>
      <c r="C192" s="15">
        <v>37.24</v>
      </c>
      <c r="D192" s="13" t="s">
        <v>19</v>
      </c>
      <c r="E192" s="15">
        <v>35.38</v>
      </c>
      <c r="F192" s="15">
        <v>5.0</v>
      </c>
      <c r="G192" s="15">
        <v>0.0</v>
      </c>
      <c r="H192" s="15">
        <v>5.0</v>
      </c>
      <c r="I192" s="16">
        <v>-2.4213709</v>
      </c>
      <c r="J192" s="17">
        <f>IFERROR(__xludf.DUMMYFUNCTION("INDEX(GOOGLEFINANCE(A192, ""open"", $J$1, $J$1), 2, 2)"),36.28)</f>
        <v>36.28</v>
      </c>
      <c r="K192" s="17">
        <f>IFERROR(__xludf.DUMMYFUNCTION("INDEX(GOOGLEFINANCE(A192, ""close"", $K$1, $K$1), 2, 2)"),34.5)</f>
        <v>34.5</v>
      </c>
      <c r="L192" s="8">
        <f t="shared" si="1"/>
        <v>-4.906284454</v>
      </c>
      <c r="M192" s="18">
        <f t="shared" si="2"/>
        <v>-49.06284454</v>
      </c>
      <c r="N192" s="18" t="str">
        <f t="shared" si="3"/>
        <v>Put Spread</v>
      </c>
      <c r="O192" s="18" t="str">
        <f t="shared" si="4"/>
        <v>No</v>
      </c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</row>
    <row r="193">
      <c r="A193" s="13" t="s">
        <v>216</v>
      </c>
      <c r="B193" s="14" t="s">
        <v>18</v>
      </c>
      <c r="C193" s="15">
        <v>31.18</v>
      </c>
      <c r="D193" s="13" t="s">
        <v>19</v>
      </c>
      <c r="E193" s="15">
        <v>28.68</v>
      </c>
      <c r="F193" s="15">
        <v>4.0</v>
      </c>
      <c r="G193" s="15">
        <v>3.0</v>
      </c>
      <c r="H193" s="15">
        <v>5.0</v>
      </c>
      <c r="I193" s="16">
        <v>0.0</v>
      </c>
      <c r="J193" s="17">
        <f>IFERROR(__xludf.DUMMYFUNCTION("INDEX(GOOGLEFINANCE(A193, ""open"", $J$1, $J$1), 2, 2)"),29.97)</f>
        <v>29.97</v>
      </c>
      <c r="K193" s="17">
        <f>IFERROR(__xludf.DUMMYFUNCTION("INDEX(GOOGLEFINANCE(A193, ""close"", $K$1, $K$1), 2, 2)"),28.5)</f>
        <v>28.5</v>
      </c>
      <c r="L193" s="8">
        <f t="shared" si="1"/>
        <v>-4.904904905</v>
      </c>
      <c r="M193" s="18">
        <f t="shared" si="2"/>
        <v>-49.04904905</v>
      </c>
      <c r="N193" s="18" t="str">
        <f t="shared" si="3"/>
        <v>Put Spread</v>
      </c>
      <c r="O193" s="18" t="str">
        <f t="shared" si="4"/>
        <v>No</v>
      </c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</row>
    <row r="194">
      <c r="A194" s="13" t="s">
        <v>217</v>
      </c>
      <c r="B194" s="14" t="s">
        <v>18</v>
      </c>
      <c r="C194" s="15">
        <v>89.95</v>
      </c>
      <c r="D194" s="13" t="s">
        <v>19</v>
      </c>
      <c r="E194" s="15">
        <v>85.91</v>
      </c>
      <c r="F194" s="15">
        <v>5.0</v>
      </c>
      <c r="G194" s="15">
        <v>1.0</v>
      </c>
      <c r="H194" s="15">
        <v>0.0</v>
      </c>
      <c r="I194" s="16">
        <v>0.0</v>
      </c>
      <c r="J194" s="17">
        <f>IFERROR(__xludf.DUMMYFUNCTION("INDEX(GOOGLEFINANCE(A194, ""open"", $J$1, $J$1), 2, 2)"),87.8)</f>
        <v>87.8</v>
      </c>
      <c r="K194" s="17">
        <f>IFERROR(__xludf.DUMMYFUNCTION("INDEX(GOOGLEFINANCE(A194, ""close"", $K$1, $K$1), 2, 2)"),83.51)</f>
        <v>83.51</v>
      </c>
      <c r="L194" s="8">
        <f t="shared" si="1"/>
        <v>-4.886104784</v>
      </c>
      <c r="M194" s="18">
        <f t="shared" si="2"/>
        <v>-48.86104784</v>
      </c>
      <c r="N194" s="18" t="str">
        <f t="shared" si="3"/>
        <v>Put Spread</v>
      </c>
      <c r="O194" s="18" t="str">
        <f t="shared" si="4"/>
        <v>No</v>
      </c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</row>
    <row r="195">
      <c r="A195" s="13" t="s">
        <v>218</v>
      </c>
      <c r="B195" s="14" t="s">
        <v>18</v>
      </c>
      <c r="C195" s="15">
        <v>18.16</v>
      </c>
      <c r="D195" s="13" t="s">
        <v>19</v>
      </c>
      <c r="E195" s="15">
        <v>17.04</v>
      </c>
      <c r="F195" s="15">
        <v>4.0</v>
      </c>
      <c r="G195" s="15">
        <v>2.0</v>
      </c>
      <c r="H195" s="15">
        <v>0.0</v>
      </c>
      <c r="I195" s="16">
        <v>1.22460666010425</v>
      </c>
      <c r="J195" s="17">
        <f>IFERROR(__xludf.DUMMYFUNCTION("INDEX(GOOGLEFINANCE(A195, ""open"", $J$1, $J$1), 2, 2)"),17.63)</f>
        <v>17.63</v>
      </c>
      <c r="K195" s="17">
        <f>IFERROR(__xludf.DUMMYFUNCTION("INDEX(GOOGLEFINANCE(A195, ""close"", $K$1, $K$1), 2, 2)"),16.77)</f>
        <v>16.77</v>
      </c>
      <c r="L195" s="8">
        <f t="shared" si="1"/>
        <v>-4.87804878</v>
      </c>
      <c r="M195" s="18">
        <f t="shared" si="2"/>
        <v>-48.7804878</v>
      </c>
      <c r="N195" s="18" t="str">
        <f t="shared" si="3"/>
        <v>Put Spread</v>
      </c>
      <c r="O195" s="18" t="str">
        <f t="shared" si="4"/>
        <v>No</v>
      </c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</row>
    <row r="196">
      <c r="A196" s="13" t="s">
        <v>219</v>
      </c>
      <c r="B196" s="14" t="s">
        <v>18</v>
      </c>
      <c r="C196" s="15">
        <v>74.82</v>
      </c>
      <c r="D196" s="13" t="s">
        <v>19</v>
      </c>
      <c r="E196" s="15">
        <v>68.1</v>
      </c>
      <c r="F196" s="15">
        <v>5.0</v>
      </c>
      <c r="G196" s="15">
        <v>4.0</v>
      </c>
      <c r="H196" s="15">
        <v>2.0</v>
      </c>
      <c r="I196" s="16">
        <v>0.0</v>
      </c>
      <c r="J196" s="17">
        <f>IFERROR(__xludf.DUMMYFUNCTION("INDEX(GOOGLEFINANCE(A196, ""open"", $J$1, $J$1), 2, 2)"),71.46)</f>
        <v>71.46</v>
      </c>
      <c r="K196" s="17">
        <f>IFERROR(__xludf.DUMMYFUNCTION("INDEX(GOOGLEFINANCE(A196, ""close"", $K$1, $K$1), 2, 2)"),67.98)</f>
        <v>67.98</v>
      </c>
      <c r="L196" s="8">
        <f t="shared" si="1"/>
        <v>-4.869857263</v>
      </c>
      <c r="M196" s="18">
        <f t="shared" si="2"/>
        <v>-48.69857263</v>
      </c>
      <c r="N196" s="18" t="str">
        <f t="shared" si="3"/>
        <v>Put Spread</v>
      </c>
      <c r="O196" s="18" t="str">
        <f t="shared" si="4"/>
        <v>No</v>
      </c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</row>
    <row r="197">
      <c r="A197" s="13" t="s">
        <v>220</v>
      </c>
      <c r="B197" s="14" t="s">
        <v>18</v>
      </c>
      <c r="C197" s="15">
        <v>242.62</v>
      </c>
      <c r="D197" s="13" t="s">
        <v>19</v>
      </c>
      <c r="E197" s="15">
        <v>223.5</v>
      </c>
      <c r="F197" s="15">
        <v>3.0</v>
      </c>
      <c r="G197" s="15">
        <v>2.0</v>
      </c>
      <c r="H197" s="15">
        <v>5.0</v>
      </c>
      <c r="I197" s="16">
        <v>0.0</v>
      </c>
      <c r="J197" s="17">
        <f>IFERROR(__xludf.DUMMYFUNCTION("INDEX(GOOGLEFINANCE(A197, ""open"", $J$1, $J$1), 2, 2)"),233.24)</f>
        <v>233.24</v>
      </c>
      <c r="K197" s="17">
        <f>IFERROR(__xludf.DUMMYFUNCTION("INDEX(GOOGLEFINANCE(A197, ""close"", $K$1, $K$1), 2, 2)"),221.89)</f>
        <v>221.89</v>
      </c>
      <c r="L197" s="8">
        <f t="shared" si="1"/>
        <v>-4.866232207</v>
      </c>
      <c r="M197" s="18">
        <f t="shared" si="2"/>
        <v>-48.66232207</v>
      </c>
      <c r="N197" s="18" t="str">
        <f t="shared" si="3"/>
        <v>Put Spread</v>
      </c>
      <c r="O197" s="18" t="str">
        <f t="shared" si="4"/>
        <v>No</v>
      </c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</row>
    <row r="198">
      <c r="A198" s="13" t="s">
        <v>221</v>
      </c>
      <c r="B198" s="14" t="s">
        <v>18</v>
      </c>
      <c r="C198" s="15">
        <v>15.32</v>
      </c>
      <c r="D198" s="13" t="s">
        <v>19</v>
      </c>
      <c r="E198" s="15">
        <v>13.32</v>
      </c>
      <c r="F198" s="15">
        <v>4.0</v>
      </c>
      <c r="G198" s="15">
        <v>3.0</v>
      </c>
      <c r="H198" s="15">
        <v>1.0</v>
      </c>
      <c r="I198" s="16">
        <v>0.0</v>
      </c>
      <c r="J198" s="17">
        <f>IFERROR(__xludf.DUMMYFUNCTION("INDEX(GOOGLEFINANCE(A198, ""open"", $J$1, $J$1), 2, 2)"),14.4)</f>
        <v>14.4</v>
      </c>
      <c r="K198" s="17">
        <f>IFERROR(__xludf.DUMMYFUNCTION("INDEX(GOOGLEFINANCE(A198, ""close"", $K$1, $K$1), 2, 2)"),13.7)</f>
        <v>13.7</v>
      </c>
      <c r="L198" s="8">
        <f t="shared" si="1"/>
        <v>-4.861111111</v>
      </c>
      <c r="M198" s="18">
        <f t="shared" si="2"/>
        <v>-48.61111111</v>
      </c>
      <c r="N198" s="18" t="str">
        <f t="shared" si="3"/>
        <v>Put Spread</v>
      </c>
      <c r="O198" s="18" t="str">
        <f t="shared" si="4"/>
        <v>Success</v>
      </c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</row>
    <row r="199">
      <c r="A199" s="13" t="s">
        <v>222</v>
      </c>
      <c r="B199" s="14" t="s">
        <v>18</v>
      </c>
      <c r="C199" s="15">
        <v>21.78</v>
      </c>
      <c r="D199" s="13" t="s">
        <v>19</v>
      </c>
      <c r="E199" s="15">
        <v>19.68</v>
      </c>
      <c r="F199" s="15">
        <v>3.0</v>
      </c>
      <c r="G199" s="15">
        <v>1.0</v>
      </c>
      <c r="H199" s="15">
        <v>3.0</v>
      </c>
      <c r="I199" s="16">
        <v>0.0</v>
      </c>
      <c r="J199" s="17">
        <f>IFERROR(__xludf.DUMMYFUNCTION("INDEX(GOOGLEFINANCE(A199, ""open"", $J$1, $J$1), 2, 2)"),20.82)</f>
        <v>20.82</v>
      </c>
      <c r="K199" s="17">
        <f>IFERROR(__xludf.DUMMYFUNCTION("INDEX(GOOGLEFINANCE(A199, ""close"", $K$1, $K$1), 2, 2)"),19.81)</f>
        <v>19.81</v>
      </c>
      <c r="L199" s="8">
        <f t="shared" si="1"/>
        <v>-4.851104707</v>
      </c>
      <c r="M199" s="18">
        <f t="shared" si="2"/>
        <v>-48.51104707</v>
      </c>
      <c r="N199" s="18" t="str">
        <f t="shared" si="3"/>
        <v>Put Spread</v>
      </c>
      <c r="O199" s="18" t="str">
        <f t="shared" si="4"/>
        <v>Success</v>
      </c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</row>
    <row r="200">
      <c r="A200" s="13" t="s">
        <v>223</v>
      </c>
      <c r="B200" s="14" t="s">
        <v>18</v>
      </c>
      <c r="C200" s="15">
        <v>43.85</v>
      </c>
      <c r="D200" s="13" t="s">
        <v>19</v>
      </c>
      <c r="E200" s="15">
        <v>41.73</v>
      </c>
      <c r="F200" s="15">
        <v>5.0</v>
      </c>
      <c r="G200" s="15">
        <v>1.0</v>
      </c>
      <c r="H200" s="15">
        <v>0.0</v>
      </c>
      <c r="I200" s="16">
        <v>-0.4082982</v>
      </c>
      <c r="J200" s="17">
        <f>IFERROR(__xludf.DUMMYFUNCTION("INDEX(GOOGLEFINANCE(A200, ""open"", $J$1, $J$1), 2, 2)"),42.89)</f>
        <v>42.89</v>
      </c>
      <c r="K200" s="17">
        <f>IFERROR(__xludf.DUMMYFUNCTION("INDEX(GOOGLEFINANCE(A200, ""close"", $K$1, $K$1), 2, 2)"),40.81)</f>
        <v>40.81</v>
      </c>
      <c r="L200" s="8">
        <f t="shared" si="1"/>
        <v>-4.849615295</v>
      </c>
      <c r="M200" s="18">
        <f t="shared" si="2"/>
        <v>-48.49615295</v>
      </c>
      <c r="N200" s="18" t="str">
        <f t="shared" si="3"/>
        <v>Put Spread</v>
      </c>
      <c r="O200" s="18" t="str">
        <f t="shared" si="4"/>
        <v>No</v>
      </c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</row>
    <row r="201">
      <c r="A201" s="13" t="s">
        <v>224</v>
      </c>
      <c r="B201" s="14" t="s">
        <v>18</v>
      </c>
      <c r="C201" s="15">
        <v>20.4</v>
      </c>
      <c r="D201" s="13" t="s">
        <v>19</v>
      </c>
      <c r="E201" s="15">
        <v>17.8</v>
      </c>
      <c r="F201" s="15">
        <v>3.0</v>
      </c>
      <c r="G201" s="15">
        <v>3.0</v>
      </c>
      <c r="H201" s="15">
        <v>3.0</v>
      </c>
      <c r="I201" s="16">
        <v>0.0</v>
      </c>
      <c r="J201" s="17">
        <f>IFERROR(__xludf.DUMMYFUNCTION("INDEX(GOOGLEFINANCE(A201, ""open"", $J$1, $J$1), 2, 2)"),19.4)</f>
        <v>19.4</v>
      </c>
      <c r="K201" s="17">
        <f>IFERROR(__xludf.DUMMYFUNCTION("INDEX(GOOGLEFINANCE(A201, ""close"", $K$1, $K$1), 2, 2)"),18.46)</f>
        <v>18.46</v>
      </c>
      <c r="L201" s="20">
        <f t="shared" si="1"/>
        <v>-4.845360825</v>
      </c>
      <c r="M201" s="18">
        <f t="shared" si="2"/>
        <v>-48.45360825</v>
      </c>
      <c r="N201" s="18" t="str">
        <f t="shared" si="3"/>
        <v>Put Spread</v>
      </c>
      <c r="O201" s="18" t="str">
        <f t="shared" si="4"/>
        <v>Success</v>
      </c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</row>
    <row r="202">
      <c r="A202" s="13" t="s">
        <v>225</v>
      </c>
      <c r="B202" s="14" t="s">
        <v>18</v>
      </c>
      <c r="C202" s="15">
        <v>25.68</v>
      </c>
      <c r="D202" s="13" t="s">
        <v>19</v>
      </c>
      <c r="E202" s="15">
        <v>23.9</v>
      </c>
      <c r="F202" s="15">
        <v>4.0</v>
      </c>
      <c r="G202" s="15">
        <v>1.0</v>
      </c>
      <c r="H202" s="15">
        <v>2.0</v>
      </c>
      <c r="I202" s="16">
        <v>0.0</v>
      </c>
      <c r="J202" s="17">
        <f>IFERROR(__xludf.DUMMYFUNCTION("INDEX(GOOGLEFINANCE(A202, ""open"", $J$1, $J$1), 2, 2)"),24.68)</f>
        <v>24.68</v>
      </c>
      <c r="K202" s="17">
        <f>IFERROR(__xludf.DUMMYFUNCTION("INDEX(GOOGLEFINANCE(A202, ""close"", $K$1, $K$1), 2, 2)"),23.49)</f>
        <v>23.49</v>
      </c>
      <c r="L202" s="8">
        <f t="shared" si="1"/>
        <v>-4.82171799</v>
      </c>
      <c r="M202" s="18">
        <f t="shared" si="2"/>
        <v>-48.2171799</v>
      </c>
      <c r="N202" s="18" t="str">
        <f t="shared" si="3"/>
        <v>Put Spread</v>
      </c>
      <c r="O202" s="18" t="str">
        <f t="shared" si="4"/>
        <v>No</v>
      </c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</row>
    <row r="203">
      <c r="A203" s="13" t="s">
        <v>226</v>
      </c>
      <c r="B203" s="14" t="s">
        <v>18</v>
      </c>
      <c r="C203" s="15">
        <v>96.52</v>
      </c>
      <c r="D203" s="13" t="s">
        <v>19</v>
      </c>
      <c r="E203" s="15">
        <v>86.06</v>
      </c>
      <c r="F203" s="15">
        <v>3.0</v>
      </c>
      <c r="G203" s="15">
        <v>3.0</v>
      </c>
      <c r="H203" s="15">
        <v>3.0</v>
      </c>
      <c r="I203" s="16">
        <v>-1.1763848</v>
      </c>
      <c r="J203" s="17">
        <f>IFERROR(__xludf.DUMMYFUNCTION("INDEX(GOOGLEFINANCE(A203, ""open"", $J$1, $J$1), 2, 2)"),91.31)</f>
        <v>91.31</v>
      </c>
      <c r="K203" s="17">
        <f>IFERROR(__xludf.DUMMYFUNCTION("INDEX(GOOGLEFINANCE(A203, ""close"", $K$1, $K$1), 2, 2)"),86.91)</f>
        <v>86.91</v>
      </c>
      <c r="L203" s="20">
        <f t="shared" si="1"/>
        <v>-4.818749316</v>
      </c>
      <c r="M203" s="18">
        <f t="shared" si="2"/>
        <v>-48.18749316</v>
      </c>
      <c r="N203" s="18" t="str">
        <f t="shared" si="3"/>
        <v>Put Spread</v>
      </c>
      <c r="O203" s="18" t="str">
        <f t="shared" si="4"/>
        <v>Success</v>
      </c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</row>
    <row r="204">
      <c r="A204" s="13" t="s">
        <v>227</v>
      </c>
      <c r="B204" s="14" t="s">
        <v>18</v>
      </c>
      <c r="C204" s="15">
        <v>22.27</v>
      </c>
      <c r="D204" s="13" t="s">
        <v>19</v>
      </c>
      <c r="E204" s="15">
        <v>18.49</v>
      </c>
      <c r="F204" s="15">
        <v>3.0</v>
      </c>
      <c r="G204" s="15">
        <v>1.0</v>
      </c>
      <c r="H204" s="15">
        <v>3.0</v>
      </c>
      <c r="I204" s="16">
        <v>0.0</v>
      </c>
      <c r="J204" s="17">
        <f>IFERROR(__xludf.DUMMYFUNCTION("INDEX(GOOGLEFINANCE(A204, ""open"", $J$1, $J$1), 2, 2)"),20.78)</f>
        <v>20.78</v>
      </c>
      <c r="K204" s="17">
        <f>IFERROR(__xludf.DUMMYFUNCTION("INDEX(GOOGLEFINANCE(A204, ""close"", $K$1, $K$1), 2, 2)"),19.78)</f>
        <v>19.78</v>
      </c>
      <c r="L204" s="20">
        <f t="shared" si="1"/>
        <v>-4.812319538</v>
      </c>
      <c r="M204" s="18">
        <f t="shared" si="2"/>
        <v>-48.12319538</v>
      </c>
      <c r="N204" s="18" t="str">
        <f t="shared" si="3"/>
        <v>Put Spread</v>
      </c>
      <c r="O204" s="18" t="str">
        <f t="shared" si="4"/>
        <v>Success</v>
      </c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</row>
    <row r="205">
      <c r="A205" s="13" t="s">
        <v>228</v>
      </c>
      <c r="B205" s="14" t="s">
        <v>18</v>
      </c>
      <c r="C205" s="15">
        <v>73.53</v>
      </c>
      <c r="D205" s="13" t="s">
        <v>19</v>
      </c>
      <c r="E205" s="15">
        <v>64.89</v>
      </c>
      <c r="F205" s="15">
        <v>2.0</v>
      </c>
      <c r="G205" s="15">
        <v>2.0</v>
      </c>
      <c r="H205" s="15">
        <v>2.0</v>
      </c>
      <c r="I205" s="16">
        <v>0.0</v>
      </c>
      <c r="J205" s="17">
        <f>IFERROR(__xludf.DUMMYFUNCTION("INDEX(GOOGLEFINANCE(A205, ""open"", $J$1, $J$1), 2, 2)"),69.71)</f>
        <v>69.71</v>
      </c>
      <c r="K205" s="17">
        <f>IFERROR(__xludf.DUMMYFUNCTION("INDEX(GOOGLEFINANCE(A205, ""close"", $K$1, $K$1), 2, 2)"),66.36)</f>
        <v>66.36</v>
      </c>
      <c r="L205" s="8">
        <f t="shared" si="1"/>
        <v>-4.805623297</v>
      </c>
      <c r="M205" s="18">
        <f t="shared" si="2"/>
        <v>-48.05623297</v>
      </c>
      <c r="N205" s="18" t="str">
        <f t="shared" si="3"/>
        <v>Put Spread</v>
      </c>
      <c r="O205" s="18" t="str">
        <f t="shared" si="4"/>
        <v>Success</v>
      </c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</row>
    <row r="206">
      <c r="A206" s="13" t="s">
        <v>229</v>
      </c>
      <c r="B206" s="14" t="s">
        <v>18</v>
      </c>
      <c r="C206" s="15">
        <v>383.53</v>
      </c>
      <c r="D206" s="13" t="s">
        <v>19</v>
      </c>
      <c r="E206" s="15">
        <v>362.25</v>
      </c>
      <c r="F206" s="15">
        <v>5.0</v>
      </c>
      <c r="G206" s="15">
        <v>0.0</v>
      </c>
      <c r="H206" s="15">
        <v>4.0</v>
      </c>
      <c r="I206" s="16">
        <v>0.0</v>
      </c>
      <c r="J206" s="17">
        <f>IFERROR(__xludf.DUMMYFUNCTION("INDEX(GOOGLEFINANCE(A206, ""open"", $J$1, $J$1), 2, 2)"),371.3)</f>
        <v>371.3</v>
      </c>
      <c r="K206" s="17">
        <f>IFERROR(__xludf.DUMMYFUNCTION("INDEX(GOOGLEFINANCE(A206, ""close"", $K$1, $K$1), 2, 2)"),353.46)</f>
        <v>353.46</v>
      </c>
      <c r="L206" s="8">
        <f t="shared" si="1"/>
        <v>-4.804740102</v>
      </c>
      <c r="M206" s="18">
        <f t="shared" si="2"/>
        <v>-48.04740102</v>
      </c>
      <c r="N206" s="18" t="str">
        <f t="shared" si="3"/>
        <v>Put Spread</v>
      </c>
      <c r="O206" s="18" t="str">
        <f t="shared" si="4"/>
        <v>No</v>
      </c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</row>
    <row r="207">
      <c r="A207" s="13" t="s">
        <v>230</v>
      </c>
      <c r="B207" s="14" t="s">
        <v>18</v>
      </c>
      <c r="C207" s="15">
        <v>54.83</v>
      </c>
      <c r="D207" s="13" t="s">
        <v>19</v>
      </c>
      <c r="E207" s="15">
        <v>48.71</v>
      </c>
      <c r="F207" s="15">
        <v>3.0</v>
      </c>
      <c r="G207" s="15">
        <v>1.0</v>
      </c>
      <c r="H207" s="15">
        <v>4.0</v>
      </c>
      <c r="I207" s="16">
        <v>0.0</v>
      </c>
      <c r="J207" s="17">
        <f>IFERROR(__xludf.DUMMYFUNCTION("INDEX(GOOGLEFINANCE(A207, ""open"", $J$1, $J$1), 2, 2)"),52.57)</f>
        <v>52.57</v>
      </c>
      <c r="K207" s="17">
        <f>IFERROR(__xludf.DUMMYFUNCTION("INDEX(GOOGLEFINANCE(A207, ""close"", $K$1, $K$1), 2, 2)"),50.05)</f>
        <v>50.05</v>
      </c>
      <c r="L207" s="20">
        <f t="shared" si="1"/>
        <v>-4.793608522</v>
      </c>
      <c r="M207" s="18">
        <f t="shared" si="2"/>
        <v>-47.93608522</v>
      </c>
      <c r="N207" s="18" t="str">
        <f t="shared" si="3"/>
        <v>Put Spread</v>
      </c>
      <c r="O207" s="18" t="str">
        <f t="shared" si="4"/>
        <v>Success</v>
      </c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</row>
    <row r="208">
      <c r="A208" s="13" t="s">
        <v>231</v>
      </c>
      <c r="B208" s="14" t="s">
        <v>18</v>
      </c>
      <c r="C208" s="15">
        <v>147.34</v>
      </c>
      <c r="D208" s="13" t="s">
        <v>19</v>
      </c>
      <c r="E208" s="15">
        <v>136.72</v>
      </c>
      <c r="F208" s="15">
        <v>4.0</v>
      </c>
      <c r="G208" s="15">
        <v>0.0</v>
      </c>
      <c r="H208" s="15">
        <v>0.0</v>
      </c>
      <c r="I208" s="16">
        <v>0.0</v>
      </c>
      <c r="J208" s="17">
        <f>IFERROR(__xludf.DUMMYFUNCTION("INDEX(GOOGLEFINANCE(A208, ""open"", $J$1, $J$1), 2, 2)"),142.13)</f>
        <v>142.13</v>
      </c>
      <c r="K208" s="17">
        <f>IFERROR(__xludf.DUMMYFUNCTION("INDEX(GOOGLEFINANCE(A208, ""close"", $K$1, $K$1), 2, 2)"),135.33)</f>
        <v>135.33</v>
      </c>
      <c r="L208" s="8">
        <f t="shared" si="1"/>
        <v>-4.784352353</v>
      </c>
      <c r="M208" s="18">
        <f t="shared" si="2"/>
        <v>-47.84352353</v>
      </c>
      <c r="N208" s="18" t="str">
        <f t="shared" si="3"/>
        <v>Put Spread</v>
      </c>
      <c r="O208" s="18" t="str">
        <f t="shared" si="4"/>
        <v>No</v>
      </c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</row>
    <row r="209">
      <c r="A209" s="13" t="s">
        <v>232</v>
      </c>
      <c r="B209" s="14" t="s">
        <v>18</v>
      </c>
      <c r="C209" s="15">
        <v>367.82</v>
      </c>
      <c r="D209" s="13" t="s">
        <v>19</v>
      </c>
      <c r="E209" s="15">
        <v>346.26</v>
      </c>
      <c r="F209" s="15">
        <v>3.0</v>
      </c>
      <c r="G209" s="15">
        <v>2.0</v>
      </c>
      <c r="H209" s="15">
        <v>5.0</v>
      </c>
      <c r="I209" s="16">
        <v>0.0</v>
      </c>
      <c r="J209" s="17">
        <f>IFERROR(__xludf.DUMMYFUNCTION("INDEX(GOOGLEFINANCE(A209, ""open"", $J$1, $J$1), 2, 2)"),356.38)</f>
        <v>356.38</v>
      </c>
      <c r="K209" s="17">
        <f>IFERROR(__xludf.DUMMYFUNCTION("INDEX(GOOGLEFINANCE(A209, ""close"", $K$1, $K$1), 2, 2)"),339.35)</f>
        <v>339.35</v>
      </c>
      <c r="L209" s="8">
        <f t="shared" si="1"/>
        <v>-4.778607105</v>
      </c>
      <c r="M209" s="18">
        <f t="shared" si="2"/>
        <v>-47.78607105</v>
      </c>
      <c r="N209" s="18" t="str">
        <f t="shared" si="3"/>
        <v>Put Spread</v>
      </c>
      <c r="O209" s="18" t="str">
        <f t="shared" si="4"/>
        <v>No</v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</row>
    <row r="210">
      <c r="A210" s="13" t="s">
        <v>233</v>
      </c>
      <c r="B210" s="14" t="s">
        <v>18</v>
      </c>
      <c r="C210" s="15">
        <v>61.75</v>
      </c>
      <c r="D210" s="13" t="s">
        <v>19</v>
      </c>
      <c r="E210" s="15">
        <v>46.92</v>
      </c>
      <c r="F210" s="15">
        <v>3.0</v>
      </c>
      <c r="G210" s="15">
        <v>3.0</v>
      </c>
      <c r="H210" s="15">
        <v>5.0</v>
      </c>
      <c r="I210" s="16">
        <v>0.904011716889301</v>
      </c>
      <c r="J210" s="17">
        <f>IFERROR(__xludf.DUMMYFUNCTION("INDEX(GOOGLEFINANCE(A210, ""open"", $J$1, $J$1), 2, 2)"),55.04)</f>
        <v>55.04</v>
      </c>
      <c r="K210" s="17">
        <f>IFERROR(__xludf.DUMMYFUNCTION("INDEX(GOOGLEFINANCE(A210, ""close"", $K$1, $K$1), 2, 2)"),52.41)</f>
        <v>52.41</v>
      </c>
      <c r="L210" s="8">
        <f t="shared" si="1"/>
        <v>-4.778343023</v>
      </c>
      <c r="M210" s="18">
        <f t="shared" si="2"/>
        <v>-47.78343023</v>
      </c>
      <c r="N210" s="18" t="str">
        <f t="shared" si="3"/>
        <v>Put Spread</v>
      </c>
      <c r="O210" s="18" t="str">
        <f t="shared" si="4"/>
        <v>Success</v>
      </c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</row>
    <row r="211">
      <c r="A211" s="13" t="s">
        <v>234</v>
      </c>
      <c r="B211" s="14" t="s">
        <v>18</v>
      </c>
      <c r="C211" s="15">
        <v>4.79</v>
      </c>
      <c r="D211" s="13" t="s">
        <v>19</v>
      </c>
      <c r="E211" s="15">
        <v>2.31</v>
      </c>
      <c r="F211" s="15">
        <v>5.0</v>
      </c>
      <c r="G211" s="15">
        <v>3.0</v>
      </c>
      <c r="H211" s="15">
        <v>2.0</v>
      </c>
      <c r="I211" s="16">
        <v>0.0</v>
      </c>
      <c r="J211" s="17">
        <f>IFERROR(__xludf.DUMMYFUNCTION("INDEX(GOOGLEFINANCE(A211, ""open"", $J$1, $J$1), 2, 2)"),3.56)</f>
        <v>3.56</v>
      </c>
      <c r="K211" s="17">
        <f>IFERROR(__xludf.DUMMYFUNCTION("INDEX(GOOGLEFINANCE(A211, ""close"", $K$1, $K$1), 2, 2)"),3.39)</f>
        <v>3.39</v>
      </c>
      <c r="L211" s="8">
        <f t="shared" si="1"/>
        <v>-4.775280899</v>
      </c>
      <c r="M211" s="18">
        <f t="shared" si="2"/>
        <v>-47.75280899</v>
      </c>
      <c r="N211" s="18" t="str">
        <f t="shared" si="3"/>
        <v>Put Spread</v>
      </c>
      <c r="O211" s="18" t="str">
        <f t="shared" si="4"/>
        <v>Success</v>
      </c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</row>
    <row r="212">
      <c r="A212" s="13" t="s">
        <v>235</v>
      </c>
      <c r="B212" s="14" t="s">
        <v>18</v>
      </c>
      <c r="C212" s="15">
        <v>194.38</v>
      </c>
      <c r="D212" s="13" t="s">
        <v>19</v>
      </c>
      <c r="E212" s="15">
        <v>177.0</v>
      </c>
      <c r="F212" s="15">
        <v>2.0</v>
      </c>
      <c r="G212" s="15">
        <v>2.0</v>
      </c>
      <c r="H212" s="15">
        <v>2.0</v>
      </c>
      <c r="I212" s="16">
        <v>0.0</v>
      </c>
      <c r="J212" s="17">
        <f>IFERROR(__xludf.DUMMYFUNCTION("INDEX(GOOGLEFINANCE(A212, ""open"", $J$1, $J$1), 2, 2)"),185.81)</f>
        <v>185.81</v>
      </c>
      <c r="K212" s="17">
        <f>IFERROR(__xludf.DUMMYFUNCTION("INDEX(GOOGLEFINANCE(A212, ""close"", $K$1, $K$1), 2, 2)"),179.99)</f>
        <v>179.99</v>
      </c>
      <c r="L212" s="8">
        <f t="shared" si="1"/>
        <v>-3.13223185</v>
      </c>
      <c r="M212" s="18">
        <f t="shared" si="2"/>
        <v>-31.3223185</v>
      </c>
      <c r="N212" s="18" t="str">
        <f t="shared" si="3"/>
        <v>Put Spread</v>
      </c>
      <c r="O212" s="18" t="str">
        <f t="shared" si="4"/>
        <v>Success</v>
      </c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</row>
    <row r="213">
      <c r="A213" s="13" t="s">
        <v>236</v>
      </c>
      <c r="B213" s="14" t="s">
        <v>18</v>
      </c>
      <c r="C213" s="15">
        <v>105.92</v>
      </c>
      <c r="D213" s="13" t="s">
        <v>19</v>
      </c>
      <c r="E213" s="15">
        <v>100.82</v>
      </c>
      <c r="F213" s="15">
        <v>5.0</v>
      </c>
      <c r="G213" s="15">
        <v>2.0</v>
      </c>
      <c r="H213" s="15">
        <v>3.0</v>
      </c>
      <c r="I213" s="16">
        <v>0.0</v>
      </c>
      <c r="J213" s="17">
        <f>IFERROR(__xludf.DUMMYFUNCTION("INDEX(GOOGLEFINANCE(A213, ""open"", $J$1, $J$1), 2, 2)"),103.0)</f>
        <v>103</v>
      </c>
      <c r="K213" s="17">
        <f>IFERROR(__xludf.DUMMYFUNCTION("INDEX(GOOGLEFINANCE(A213, ""close"", $K$1, $K$1), 2, 2)"),98.09)</f>
        <v>98.09</v>
      </c>
      <c r="L213" s="8">
        <f t="shared" si="1"/>
        <v>-4.766990291</v>
      </c>
      <c r="M213" s="18">
        <f t="shared" si="2"/>
        <v>-47.66990291</v>
      </c>
      <c r="N213" s="18" t="str">
        <f t="shared" si="3"/>
        <v>Put Spread</v>
      </c>
      <c r="O213" s="18" t="str">
        <f t="shared" si="4"/>
        <v>No</v>
      </c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</row>
    <row r="214">
      <c r="A214" s="13" t="s">
        <v>237</v>
      </c>
      <c r="B214" s="14" t="s">
        <v>18</v>
      </c>
      <c r="C214" s="15">
        <v>17.11</v>
      </c>
      <c r="D214" s="13" t="s">
        <v>19</v>
      </c>
      <c r="E214" s="15">
        <v>13.69</v>
      </c>
      <c r="F214" s="15">
        <v>5.0</v>
      </c>
      <c r="G214" s="15">
        <v>1.0</v>
      </c>
      <c r="H214" s="15">
        <v>4.0</v>
      </c>
      <c r="I214" s="16">
        <v>0.0</v>
      </c>
      <c r="J214" s="17">
        <f>IFERROR(__xludf.DUMMYFUNCTION("INDEX(GOOGLEFINANCE(A214, ""open"", $J$1, $J$1), 2, 2)"),15.55)</f>
        <v>15.55</v>
      </c>
      <c r="K214" s="17">
        <f>IFERROR(__xludf.DUMMYFUNCTION("INDEX(GOOGLEFINANCE(A214, ""close"", $K$1, $K$1), 2, 2)"),14.81)</f>
        <v>14.81</v>
      </c>
      <c r="L214" s="20">
        <f t="shared" si="1"/>
        <v>-4.758842444</v>
      </c>
      <c r="M214" s="18">
        <f t="shared" si="2"/>
        <v>-47.58842444</v>
      </c>
      <c r="N214" s="18" t="str">
        <f t="shared" si="3"/>
        <v>Put Spread</v>
      </c>
      <c r="O214" s="18" t="str">
        <f t="shared" si="4"/>
        <v>Success</v>
      </c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</row>
    <row r="215">
      <c r="A215" s="13" t="s">
        <v>238</v>
      </c>
      <c r="B215" s="14" t="s">
        <v>18</v>
      </c>
      <c r="C215" s="15">
        <v>17.42</v>
      </c>
      <c r="D215" s="13" t="s">
        <v>19</v>
      </c>
      <c r="E215" s="15">
        <v>16.26</v>
      </c>
      <c r="F215" s="15">
        <v>5.0</v>
      </c>
      <c r="G215" s="15">
        <v>1.0</v>
      </c>
      <c r="H215" s="15">
        <v>4.0</v>
      </c>
      <c r="I215" s="16">
        <v>0.0</v>
      </c>
      <c r="J215" s="17">
        <f>IFERROR(__xludf.DUMMYFUNCTION("INDEX(GOOGLEFINANCE(A215, ""open"", $J$1, $J$1), 2, 2)"),16.84)</f>
        <v>16.84</v>
      </c>
      <c r="K215" s="17">
        <f>IFERROR(__xludf.DUMMYFUNCTION("INDEX(GOOGLEFINANCE(A215, ""close"", $K$1, $K$1), 2, 2)"),16.04)</f>
        <v>16.04</v>
      </c>
      <c r="L215" s="20">
        <f t="shared" si="1"/>
        <v>-4.750593824</v>
      </c>
      <c r="M215" s="18">
        <f t="shared" si="2"/>
        <v>-47.50593824</v>
      </c>
      <c r="N215" s="18" t="str">
        <f t="shared" si="3"/>
        <v>Put Spread</v>
      </c>
      <c r="O215" s="18" t="str">
        <f t="shared" si="4"/>
        <v>No</v>
      </c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</row>
    <row r="216">
      <c r="A216" s="13" t="s">
        <v>239</v>
      </c>
      <c r="B216" s="14" t="s">
        <v>18</v>
      </c>
      <c r="C216" s="15">
        <v>129.39</v>
      </c>
      <c r="D216" s="13" t="s">
        <v>19</v>
      </c>
      <c r="E216" s="15">
        <v>120.55</v>
      </c>
      <c r="F216" s="15">
        <v>3.0</v>
      </c>
      <c r="G216" s="15">
        <v>1.0</v>
      </c>
      <c r="H216" s="15">
        <v>3.0</v>
      </c>
      <c r="I216" s="16">
        <v>2.74857028035994</v>
      </c>
      <c r="J216" s="17">
        <f>IFERROR(__xludf.DUMMYFUNCTION("INDEX(GOOGLEFINANCE(A216, ""open"", $J$1, $J$1), 2, 2)"),125.56)</f>
        <v>125.56</v>
      </c>
      <c r="K216" s="17">
        <f>IFERROR(__xludf.DUMMYFUNCTION("INDEX(GOOGLEFINANCE(A216, ""close"", $K$1, $K$1), 2, 2)"),119.6)</f>
        <v>119.6</v>
      </c>
      <c r="L216" s="20">
        <f t="shared" si="1"/>
        <v>-4.746734629</v>
      </c>
      <c r="M216" s="18">
        <f t="shared" si="2"/>
        <v>-47.46734629</v>
      </c>
      <c r="N216" s="18" t="str">
        <f t="shared" si="3"/>
        <v>Put Spread</v>
      </c>
      <c r="O216" s="18" t="str">
        <f t="shared" si="4"/>
        <v>No</v>
      </c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</row>
    <row r="217">
      <c r="A217" s="13" t="s">
        <v>240</v>
      </c>
      <c r="B217" s="14" t="s">
        <v>18</v>
      </c>
      <c r="C217" s="15">
        <v>40.02</v>
      </c>
      <c r="D217" s="13" t="s">
        <v>19</v>
      </c>
      <c r="E217" s="15">
        <v>37.28</v>
      </c>
      <c r="F217" s="15">
        <v>5.0</v>
      </c>
      <c r="G217" s="15">
        <v>1.0</v>
      </c>
      <c r="H217" s="15">
        <v>5.0</v>
      </c>
      <c r="I217" s="16">
        <v>0.0</v>
      </c>
      <c r="J217" s="17">
        <f>IFERROR(__xludf.DUMMYFUNCTION("INDEX(GOOGLEFINANCE(A217, ""open"", $J$1, $J$1), 2, 2)"),38.66)</f>
        <v>38.66</v>
      </c>
      <c r="K217" s="17">
        <f>IFERROR(__xludf.DUMMYFUNCTION("INDEX(GOOGLEFINANCE(A217, ""close"", $K$1, $K$1), 2, 2)"),37.44)</f>
        <v>37.44</v>
      </c>
      <c r="L217" s="8">
        <f t="shared" si="1"/>
        <v>-3.155716503</v>
      </c>
      <c r="M217" s="18">
        <f t="shared" si="2"/>
        <v>-31.55716503</v>
      </c>
      <c r="N217" s="18" t="str">
        <f t="shared" si="3"/>
        <v>Put Spread</v>
      </c>
      <c r="O217" s="18" t="str">
        <f t="shared" si="4"/>
        <v>Success</v>
      </c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</row>
    <row r="218">
      <c r="A218" s="13" t="s">
        <v>241</v>
      </c>
      <c r="B218" s="14" t="s">
        <v>18</v>
      </c>
      <c r="C218" s="15">
        <v>23.0</v>
      </c>
      <c r="D218" s="13" t="s">
        <v>19</v>
      </c>
      <c r="E218" s="15">
        <v>20.08</v>
      </c>
      <c r="F218" s="15">
        <v>3.0</v>
      </c>
      <c r="G218" s="15">
        <v>3.0</v>
      </c>
      <c r="H218" s="15">
        <v>4.0</v>
      </c>
      <c r="I218" s="16">
        <v>0.0</v>
      </c>
      <c r="J218" s="17">
        <f>IFERROR(__xludf.DUMMYFUNCTION("INDEX(GOOGLEFINANCE(A218, ""open"", $J$1, $J$1), 2, 2)"),21.34)</f>
        <v>21.34</v>
      </c>
      <c r="K218" s="17">
        <f>IFERROR(__xludf.DUMMYFUNCTION("INDEX(GOOGLEFINANCE(A218, ""close"", $K$1, $K$1), 2, 2)"),20.33)</f>
        <v>20.33</v>
      </c>
      <c r="L218" s="8">
        <f t="shared" si="1"/>
        <v>-4.73289597</v>
      </c>
      <c r="M218" s="18">
        <f t="shared" si="2"/>
        <v>-47.3289597</v>
      </c>
      <c r="N218" s="18" t="str">
        <f t="shared" si="3"/>
        <v>Put Spread</v>
      </c>
      <c r="O218" s="18" t="str">
        <f t="shared" si="4"/>
        <v>Success</v>
      </c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</row>
    <row r="219">
      <c r="A219" s="13" t="s">
        <v>242</v>
      </c>
      <c r="B219" s="14" t="s">
        <v>18</v>
      </c>
      <c r="C219" s="15">
        <v>70.29</v>
      </c>
      <c r="D219" s="13" t="s">
        <v>19</v>
      </c>
      <c r="E219" s="15">
        <v>62.43</v>
      </c>
      <c r="F219" s="15">
        <v>4.0</v>
      </c>
      <c r="G219" s="15">
        <v>1.0</v>
      </c>
      <c r="H219" s="15">
        <v>4.0</v>
      </c>
      <c r="I219" s="16">
        <v>-0.9647275</v>
      </c>
      <c r="J219" s="17">
        <f>IFERROR(__xludf.DUMMYFUNCTION("INDEX(GOOGLEFINANCE(A219, ""open"", $J$1, $J$1), 2, 2)"),67.41)</f>
        <v>67.41</v>
      </c>
      <c r="K219" s="17">
        <f>IFERROR(__xludf.DUMMYFUNCTION("INDEX(GOOGLEFINANCE(A219, ""close"", $K$1, $K$1), 2, 2)"),64.22)</f>
        <v>64.22</v>
      </c>
      <c r="L219" s="8">
        <f t="shared" si="1"/>
        <v>-4.732235573</v>
      </c>
      <c r="M219" s="18">
        <f t="shared" si="2"/>
        <v>-47.32235573</v>
      </c>
      <c r="N219" s="18" t="str">
        <f t="shared" si="3"/>
        <v>Put Spread</v>
      </c>
      <c r="O219" s="18" t="str">
        <f t="shared" si="4"/>
        <v>Success</v>
      </c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</row>
    <row r="220">
      <c r="A220" s="13" t="s">
        <v>243</v>
      </c>
      <c r="B220" s="14" t="s">
        <v>18</v>
      </c>
      <c r="C220" s="15">
        <v>23.84</v>
      </c>
      <c r="D220" s="13" t="s">
        <v>19</v>
      </c>
      <c r="E220" s="15">
        <v>21.84</v>
      </c>
      <c r="F220" s="15">
        <v>5.0</v>
      </c>
      <c r="G220" s="15">
        <v>2.0</v>
      </c>
      <c r="H220" s="15">
        <v>4.0</v>
      </c>
      <c r="I220" s="16">
        <v>1.20576904333239</v>
      </c>
      <c r="J220" s="17">
        <f>IFERROR(__xludf.DUMMYFUNCTION("INDEX(GOOGLEFINANCE(A220, ""open"", $J$1, $J$1), 2, 2)"),22.63)</f>
        <v>22.63</v>
      </c>
      <c r="K220" s="17">
        <f>IFERROR(__xludf.DUMMYFUNCTION("INDEX(GOOGLEFINANCE(A220, ""close"", $K$1, $K$1), 2, 2)"),21.59)</f>
        <v>21.59</v>
      </c>
      <c r="L220" s="8">
        <f t="shared" si="1"/>
        <v>-4.595669465</v>
      </c>
      <c r="M220" s="18">
        <f t="shared" si="2"/>
        <v>-45.95669465</v>
      </c>
      <c r="N220" s="18" t="str">
        <f t="shared" si="3"/>
        <v>Put Spread</v>
      </c>
      <c r="O220" s="18" t="str">
        <f t="shared" si="4"/>
        <v>No</v>
      </c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</row>
    <row r="221">
      <c r="A221" s="13" t="s">
        <v>244</v>
      </c>
      <c r="B221" s="14" t="s">
        <v>18</v>
      </c>
      <c r="C221" s="15">
        <v>95.16</v>
      </c>
      <c r="D221" s="13" t="s">
        <v>19</v>
      </c>
      <c r="E221" s="15">
        <v>80.88</v>
      </c>
      <c r="F221" s="15">
        <v>5.0</v>
      </c>
      <c r="G221" s="15">
        <v>4.0</v>
      </c>
      <c r="H221" s="15">
        <v>2.0</v>
      </c>
      <c r="I221" s="16">
        <v>0.0</v>
      </c>
      <c r="J221" s="17">
        <f>IFERROR(__xludf.DUMMYFUNCTION("INDEX(GOOGLEFINANCE(A221, ""open"", $J$1, $J$1), 2, 2)"),88.35)</f>
        <v>88.35</v>
      </c>
      <c r="K221" s="17">
        <f>IFERROR(__xludf.DUMMYFUNCTION("INDEX(GOOGLEFINANCE(A221, ""close"", $K$1, $K$1), 2, 2)"),84.3)</f>
        <v>84.3</v>
      </c>
      <c r="L221" s="20">
        <f t="shared" si="1"/>
        <v>-4.584040747</v>
      </c>
      <c r="M221" s="18">
        <f t="shared" si="2"/>
        <v>-45.84040747</v>
      </c>
      <c r="N221" s="18" t="str">
        <f t="shared" si="3"/>
        <v>Put Spread</v>
      </c>
      <c r="O221" s="18" t="str">
        <f t="shared" si="4"/>
        <v>Success</v>
      </c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</row>
    <row r="222">
      <c r="A222" s="13" t="s">
        <v>245</v>
      </c>
      <c r="B222" s="14" t="s">
        <v>18</v>
      </c>
      <c r="C222" s="15">
        <v>407.17</v>
      </c>
      <c r="D222" s="13" t="s">
        <v>19</v>
      </c>
      <c r="E222" s="15">
        <v>377.17</v>
      </c>
      <c r="F222" s="15">
        <v>5.0</v>
      </c>
      <c r="G222" s="15">
        <v>2.0</v>
      </c>
      <c r="H222" s="15">
        <v>5.0</v>
      </c>
      <c r="I222" s="16">
        <v>-0.6620817</v>
      </c>
      <c r="J222" s="17">
        <f>IFERROR(__xludf.DUMMYFUNCTION("INDEX(GOOGLEFINANCE(A222, ""open"", $J$1, $J$1), 2, 2)"),399.56)</f>
        <v>399.56</v>
      </c>
      <c r="K222" s="17">
        <f>IFERROR(__xludf.DUMMYFUNCTION("INDEX(GOOGLEFINANCE(A222, ""close"", $K$1, $K$1), 2, 2)"),381.29)</f>
        <v>381.29</v>
      </c>
      <c r="L222" s="8">
        <f t="shared" si="1"/>
        <v>-4.572529783</v>
      </c>
      <c r="M222" s="18">
        <f t="shared" si="2"/>
        <v>-45.72529783</v>
      </c>
      <c r="N222" s="18" t="str">
        <f t="shared" si="3"/>
        <v>Put Spread</v>
      </c>
      <c r="O222" s="18" t="str">
        <f t="shared" si="4"/>
        <v>Success</v>
      </c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</row>
    <row r="223">
      <c r="A223" s="13" t="s">
        <v>246</v>
      </c>
      <c r="B223" s="14" t="s">
        <v>18</v>
      </c>
      <c r="C223" s="15">
        <v>170.67</v>
      </c>
      <c r="D223" s="13" t="s">
        <v>19</v>
      </c>
      <c r="E223" s="15">
        <v>151.47</v>
      </c>
      <c r="F223" s="15">
        <v>4.0</v>
      </c>
      <c r="G223" s="15">
        <v>3.0</v>
      </c>
      <c r="H223" s="15">
        <v>1.0</v>
      </c>
      <c r="I223" s="16">
        <v>0.0</v>
      </c>
      <c r="J223" s="17">
        <f>IFERROR(__xludf.DUMMYFUNCTION("INDEX(GOOGLEFINANCE(A223, ""open"", $J$1, $J$1), 2, 2)"),161.45)</f>
        <v>161.45</v>
      </c>
      <c r="K223" s="17">
        <f>IFERROR(__xludf.DUMMYFUNCTION("INDEX(GOOGLEFINANCE(A223, ""close"", $K$1, $K$1), 2, 2)"),154.08)</f>
        <v>154.08</v>
      </c>
      <c r="L223" s="8">
        <f t="shared" si="1"/>
        <v>-4.564880768</v>
      </c>
      <c r="M223" s="18">
        <f t="shared" si="2"/>
        <v>-45.64880768</v>
      </c>
      <c r="N223" s="18" t="str">
        <f t="shared" si="3"/>
        <v>Put Spread</v>
      </c>
      <c r="O223" s="18" t="str">
        <f t="shared" si="4"/>
        <v>Success</v>
      </c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</row>
    <row r="224">
      <c r="A224" s="13" t="s">
        <v>247</v>
      </c>
      <c r="B224" s="14" t="s">
        <v>18</v>
      </c>
      <c r="C224" s="15">
        <v>337.73</v>
      </c>
      <c r="D224" s="13" t="s">
        <v>19</v>
      </c>
      <c r="E224" s="15">
        <v>312.07</v>
      </c>
      <c r="F224" s="15">
        <v>4.0</v>
      </c>
      <c r="G224" s="15">
        <v>0.0</v>
      </c>
      <c r="H224" s="15">
        <v>4.0</v>
      </c>
      <c r="I224" s="16">
        <v>2.20950786435716</v>
      </c>
      <c r="J224" s="17">
        <f>IFERROR(__xludf.DUMMYFUNCTION("INDEX(GOOGLEFINANCE(A224, ""open"", $J$1, $J$1), 2, 2)"),323.43)</f>
        <v>323.43</v>
      </c>
      <c r="K224" s="17">
        <f>IFERROR(__xludf.DUMMYFUNCTION("INDEX(GOOGLEFINANCE(A224, ""close"", $K$1, $K$1), 2, 2)"),308.67)</f>
        <v>308.67</v>
      </c>
      <c r="L224" s="20">
        <f t="shared" si="1"/>
        <v>-4.563584083</v>
      </c>
      <c r="M224" s="18">
        <f t="shared" si="2"/>
        <v>-45.63584083</v>
      </c>
      <c r="N224" s="18" t="str">
        <f t="shared" si="3"/>
        <v>Put Spread</v>
      </c>
      <c r="O224" s="18" t="str">
        <f t="shared" si="4"/>
        <v>No</v>
      </c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</row>
    <row r="225">
      <c r="A225" s="13" t="s">
        <v>248</v>
      </c>
      <c r="B225" s="14" t="s">
        <v>18</v>
      </c>
      <c r="C225" s="15">
        <v>18.87</v>
      </c>
      <c r="D225" s="13" t="s">
        <v>19</v>
      </c>
      <c r="E225" s="15">
        <v>17.93</v>
      </c>
      <c r="F225" s="15">
        <v>4.0</v>
      </c>
      <c r="G225" s="15">
        <v>2.0</v>
      </c>
      <c r="H225" s="15">
        <v>5.0</v>
      </c>
      <c r="I225" s="16">
        <v>0.0</v>
      </c>
      <c r="J225" s="17">
        <f>IFERROR(__xludf.DUMMYFUNCTION("INDEX(GOOGLEFINANCE(A225, ""open"", $J$1, $J$1), 2, 2)"),18.56)</f>
        <v>18.56</v>
      </c>
      <c r="K225" s="17">
        <f>IFERROR(__xludf.DUMMYFUNCTION("INDEX(GOOGLEFINANCE(A225, ""close"", $K$1, $K$1), 2, 2)"),17.72)</f>
        <v>17.72</v>
      </c>
      <c r="L225" s="20">
        <f t="shared" si="1"/>
        <v>-4.525862069</v>
      </c>
      <c r="M225" s="18">
        <f t="shared" si="2"/>
        <v>-45.25862069</v>
      </c>
      <c r="N225" s="18" t="str">
        <f t="shared" si="3"/>
        <v>Put Spread</v>
      </c>
      <c r="O225" s="18" t="str">
        <f t="shared" si="4"/>
        <v>No</v>
      </c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</row>
    <row r="226">
      <c r="A226" s="13" t="s">
        <v>249</v>
      </c>
      <c r="B226" s="14" t="s">
        <v>18</v>
      </c>
      <c r="C226" s="15">
        <v>10.07</v>
      </c>
      <c r="D226" s="13" t="s">
        <v>19</v>
      </c>
      <c r="E226" s="15">
        <v>9.41</v>
      </c>
      <c r="F226" s="15">
        <v>5.0</v>
      </c>
      <c r="G226" s="15">
        <v>3.0</v>
      </c>
      <c r="H226" s="15">
        <v>4.0</v>
      </c>
      <c r="I226" s="16">
        <v>0.0</v>
      </c>
      <c r="J226" s="17">
        <f>IFERROR(__xludf.DUMMYFUNCTION("INDEX(GOOGLEFINANCE(A226, ""open"", $J$1, $J$1), 2, 2)"),9.74)</f>
        <v>9.74</v>
      </c>
      <c r="K226" s="17">
        <f>IFERROR(__xludf.DUMMYFUNCTION("INDEX(GOOGLEFINANCE(A226, ""close"", $K$1, $K$1), 2, 2)"),9.3)</f>
        <v>9.3</v>
      </c>
      <c r="L226" s="8">
        <f t="shared" si="1"/>
        <v>-4.517453799</v>
      </c>
      <c r="M226" s="18">
        <f t="shared" si="2"/>
        <v>-45.17453799</v>
      </c>
      <c r="N226" s="18" t="str">
        <f t="shared" si="3"/>
        <v>Put Spread</v>
      </c>
      <c r="O226" s="18" t="str">
        <f t="shared" si="4"/>
        <v>No</v>
      </c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</row>
    <row r="227">
      <c r="A227" s="13" t="s">
        <v>250</v>
      </c>
      <c r="B227" s="14" t="s">
        <v>18</v>
      </c>
      <c r="C227" s="15">
        <v>199.35</v>
      </c>
      <c r="D227" s="13" t="s">
        <v>19</v>
      </c>
      <c r="E227" s="15">
        <v>188.19</v>
      </c>
      <c r="F227" s="15">
        <v>3.0</v>
      </c>
      <c r="G227" s="15">
        <v>1.0</v>
      </c>
      <c r="H227" s="15">
        <v>1.0</v>
      </c>
      <c r="I227" s="16">
        <v>0.0</v>
      </c>
      <c r="J227" s="17">
        <f>IFERROR(__xludf.DUMMYFUNCTION("INDEX(GOOGLEFINANCE(A227, ""open"", $J$1, $J$1), 2, 2)"),193.73)</f>
        <v>193.73</v>
      </c>
      <c r="K227" s="17">
        <f>IFERROR(__xludf.DUMMYFUNCTION("INDEX(GOOGLEFINANCE(A227, ""close"", $K$1, $K$1), 2, 2)"),184.99)</f>
        <v>184.99</v>
      </c>
      <c r="L227" s="20">
        <f t="shared" si="1"/>
        <v>-4.511433438</v>
      </c>
      <c r="M227" s="18">
        <f t="shared" si="2"/>
        <v>-45.11433438</v>
      </c>
      <c r="N227" s="18" t="str">
        <f t="shared" si="3"/>
        <v>Put Spread</v>
      </c>
      <c r="O227" s="18" t="str">
        <f t="shared" si="4"/>
        <v>No</v>
      </c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</row>
    <row r="228">
      <c r="A228" s="13" t="s">
        <v>251</v>
      </c>
      <c r="B228" s="14" t="s">
        <v>18</v>
      </c>
      <c r="C228" s="15">
        <v>162.66</v>
      </c>
      <c r="D228" s="13" t="s">
        <v>19</v>
      </c>
      <c r="E228" s="15">
        <v>153.94</v>
      </c>
      <c r="F228" s="15">
        <v>3.0</v>
      </c>
      <c r="G228" s="15">
        <v>2.0</v>
      </c>
      <c r="H228" s="15">
        <v>2.0</v>
      </c>
      <c r="I228" s="16">
        <v>0.0</v>
      </c>
      <c r="J228" s="17">
        <f>IFERROR(__xludf.DUMMYFUNCTION("INDEX(GOOGLEFINANCE(A228, ""open"", $J$1, $J$1), 2, 2)"),157.63)</f>
        <v>157.63</v>
      </c>
      <c r="K228" s="17">
        <f>IFERROR(__xludf.DUMMYFUNCTION("INDEX(GOOGLEFINANCE(A228, ""close"", $K$1, $K$1), 2, 2)"),150.65)</f>
        <v>150.65</v>
      </c>
      <c r="L228" s="8">
        <f t="shared" si="1"/>
        <v>-4.428091099</v>
      </c>
      <c r="M228" s="18">
        <f t="shared" si="2"/>
        <v>-44.28091099</v>
      </c>
      <c r="N228" s="18" t="str">
        <f t="shared" si="3"/>
        <v>Put Spread</v>
      </c>
      <c r="O228" s="18" t="str">
        <f t="shared" si="4"/>
        <v>No</v>
      </c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</row>
    <row r="229">
      <c r="A229" s="13" t="s">
        <v>252</v>
      </c>
      <c r="B229" s="14" t="s">
        <v>18</v>
      </c>
      <c r="C229" s="15">
        <v>49.02</v>
      </c>
      <c r="D229" s="13" t="s">
        <v>19</v>
      </c>
      <c r="E229" s="15">
        <v>46.48</v>
      </c>
      <c r="F229" s="15">
        <v>4.0</v>
      </c>
      <c r="G229" s="15">
        <v>2.0</v>
      </c>
      <c r="H229" s="15">
        <v>3.0</v>
      </c>
      <c r="I229" s="16">
        <v>0.0</v>
      </c>
      <c r="J229" s="17">
        <f>IFERROR(__xludf.DUMMYFUNCTION("INDEX(GOOGLEFINANCE(A229, ""open"", $J$1, $J$1), 2, 2)"),47.54)</f>
        <v>47.54</v>
      </c>
      <c r="K229" s="17">
        <f>IFERROR(__xludf.DUMMYFUNCTION("INDEX(GOOGLEFINANCE(A229, ""close"", $K$1, $K$1), 2, 2)"),45.44)</f>
        <v>45.44</v>
      </c>
      <c r="L229" s="8">
        <f t="shared" si="1"/>
        <v>-4.417332772</v>
      </c>
      <c r="M229" s="18">
        <f t="shared" si="2"/>
        <v>-44.17332772</v>
      </c>
      <c r="N229" s="18" t="str">
        <f t="shared" si="3"/>
        <v>Put Spread</v>
      </c>
      <c r="O229" s="18" t="str">
        <f t="shared" si="4"/>
        <v>No</v>
      </c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</row>
    <row r="230">
      <c r="A230" s="13" t="s">
        <v>253</v>
      </c>
      <c r="B230" s="14" t="s">
        <v>18</v>
      </c>
      <c r="C230" s="15">
        <v>99.29</v>
      </c>
      <c r="D230" s="13" t="s">
        <v>19</v>
      </c>
      <c r="E230" s="15">
        <v>92.85</v>
      </c>
      <c r="F230" s="15">
        <v>5.0</v>
      </c>
      <c r="G230" s="15">
        <v>1.0</v>
      </c>
      <c r="H230" s="15">
        <v>5.0</v>
      </c>
      <c r="I230" s="16">
        <v>0.0</v>
      </c>
      <c r="J230" s="17">
        <f>IFERROR(__xludf.DUMMYFUNCTION("INDEX(GOOGLEFINANCE(A230, ""open"", $J$1, $J$1), 2, 2)"),96.07)</f>
        <v>96.07</v>
      </c>
      <c r="K230" s="17">
        <f>IFERROR(__xludf.DUMMYFUNCTION("INDEX(GOOGLEFINANCE(A230, ""close"", $K$1, $K$1), 2, 2)"),91.83)</f>
        <v>91.83</v>
      </c>
      <c r="L230" s="8">
        <f t="shared" si="1"/>
        <v>-4.413448527</v>
      </c>
      <c r="M230" s="18">
        <f t="shared" si="2"/>
        <v>-44.13448527</v>
      </c>
      <c r="N230" s="18" t="str">
        <f t="shared" si="3"/>
        <v>Put Spread</v>
      </c>
      <c r="O230" s="18" t="str">
        <f t="shared" si="4"/>
        <v>No</v>
      </c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</row>
    <row r="231">
      <c r="A231" s="13" t="s">
        <v>254</v>
      </c>
      <c r="B231" s="14" t="s">
        <v>18</v>
      </c>
      <c r="C231" s="15">
        <v>60.17</v>
      </c>
      <c r="D231" s="13" t="s">
        <v>19</v>
      </c>
      <c r="E231" s="15">
        <v>55.33</v>
      </c>
      <c r="F231" s="15">
        <v>4.0</v>
      </c>
      <c r="G231" s="15">
        <v>2.0</v>
      </c>
      <c r="H231" s="15">
        <v>4.0</v>
      </c>
      <c r="I231" s="16">
        <v>0.0</v>
      </c>
      <c r="J231" s="17">
        <f>IFERROR(__xludf.DUMMYFUNCTION("INDEX(GOOGLEFINANCE(A231, ""open"", $J$1, $J$1), 2, 2)"),57.81)</f>
        <v>57.81</v>
      </c>
      <c r="K231" s="17">
        <f>IFERROR(__xludf.DUMMYFUNCTION("INDEX(GOOGLEFINANCE(A231, ""close"", $K$1, $K$1), 2, 2)"),55.26)</f>
        <v>55.26</v>
      </c>
      <c r="L231" s="20">
        <f t="shared" si="1"/>
        <v>-4.411001557</v>
      </c>
      <c r="M231" s="18">
        <f t="shared" si="2"/>
        <v>-44.11001557</v>
      </c>
      <c r="N231" s="18" t="str">
        <f t="shared" si="3"/>
        <v>Put Spread</v>
      </c>
      <c r="O231" s="18" t="str">
        <f t="shared" si="4"/>
        <v>No</v>
      </c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</row>
    <row r="232">
      <c r="A232" s="13" t="s">
        <v>255</v>
      </c>
      <c r="B232" s="14" t="s">
        <v>18</v>
      </c>
      <c r="C232" s="15">
        <v>47.1</v>
      </c>
      <c r="D232" s="13" t="s">
        <v>19</v>
      </c>
      <c r="E232" s="15">
        <v>43.34</v>
      </c>
      <c r="F232" s="15">
        <v>3.0</v>
      </c>
      <c r="G232" s="15">
        <v>2.0</v>
      </c>
      <c r="H232" s="15">
        <v>4.0</v>
      </c>
      <c r="I232" s="16">
        <v>0.0</v>
      </c>
      <c r="J232" s="17">
        <f>IFERROR(__xludf.DUMMYFUNCTION("INDEX(GOOGLEFINANCE(A232, ""open"", $J$1, $J$1), 2, 2)"),44.72)</f>
        <v>44.72</v>
      </c>
      <c r="K232" s="17">
        <f>IFERROR(__xludf.DUMMYFUNCTION("INDEX(GOOGLEFINANCE(A232, ""close"", $K$1, $K$1), 2, 2)"),42.75)</f>
        <v>42.75</v>
      </c>
      <c r="L232" s="8">
        <f t="shared" si="1"/>
        <v>-4.405187835</v>
      </c>
      <c r="M232" s="18">
        <f t="shared" si="2"/>
        <v>-44.05187835</v>
      </c>
      <c r="N232" s="18" t="str">
        <f t="shared" si="3"/>
        <v>Put Spread</v>
      </c>
      <c r="O232" s="18" t="str">
        <f t="shared" si="4"/>
        <v>No</v>
      </c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</row>
    <row r="233">
      <c r="A233" s="13" t="s">
        <v>256</v>
      </c>
      <c r="B233" s="14" t="s">
        <v>18</v>
      </c>
      <c r="C233" s="15">
        <v>12.52</v>
      </c>
      <c r="D233" s="13" t="s">
        <v>19</v>
      </c>
      <c r="E233" s="15">
        <v>10.2</v>
      </c>
      <c r="F233" s="15">
        <v>5.0</v>
      </c>
      <c r="G233" s="15">
        <v>3.0</v>
      </c>
      <c r="H233" s="15">
        <v>4.0</v>
      </c>
      <c r="I233" s="16">
        <v>0.0</v>
      </c>
      <c r="J233" s="17">
        <f>IFERROR(__xludf.DUMMYFUNCTION("INDEX(GOOGLEFINANCE(A233, ""open"", $J$1, $J$1), 2, 2)"),11.36)</f>
        <v>11.36</v>
      </c>
      <c r="K233" s="17">
        <f>IFERROR(__xludf.DUMMYFUNCTION("INDEX(GOOGLEFINANCE(A233, ""close"", $K$1, $K$1), 2, 2)"),10.86)</f>
        <v>10.86</v>
      </c>
      <c r="L233" s="8">
        <f t="shared" si="1"/>
        <v>-4.401408451</v>
      </c>
      <c r="M233" s="18">
        <f t="shared" si="2"/>
        <v>-44.01408451</v>
      </c>
      <c r="N233" s="18" t="str">
        <f t="shared" si="3"/>
        <v>Put Spread</v>
      </c>
      <c r="O233" s="18" t="str">
        <f t="shared" si="4"/>
        <v>Success</v>
      </c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</row>
    <row r="234">
      <c r="A234" s="13" t="s">
        <v>257</v>
      </c>
      <c r="B234" s="14" t="s">
        <v>18</v>
      </c>
      <c r="C234" s="15">
        <v>3.18</v>
      </c>
      <c r="D234" s="13" t="s">
        <v>19</v>
      </c>
      <c r="E234" s="15">
        <v>2.7</v>
      </c>
      <c r="F234" s="15">
        <v>5.0</v>
      </c>
      <c r="G234" s="15">
        <v>1.0</v>
      </c>
      <c r="H234" s="15">
        <v>4.0</v>
      </c>
      <c r="I234" s="16">
        <v>0.0</v>
      </c>
      <c r="J234" s="17">
        <f>IFERROR(__xludf.DUMMYFUNCTION("INDEX(GOOGLEFINANCE(A234, ""open"", $J$1, $J$1), 2, 2)"),2.96)</f>
        <v>2.96</v>
      </c>
      <c r="K234" s="17">
        <f>IFERROR(__xludf.DUMMYFUNCTION("INDEX(GOOGLEFINANCE(A234, ""close"", $K$1, $K$1), 2, 2)"),2.83)</f>
        <v>2.83</v>
      </c>
      <c r="L234" s="20">
        <f t="shared" si="1"/>
        <v>-4.391891892</v>
      </c>
      <c r="M234" s="18">
        <f t="shared" si="2"/>
        <v>-43.91891892</v>
      </c>
      <c r="N234" s="18" t="str">
        <f t="shared" si="3"/>
        <v>Put Spread</v>
      </c>
      <c r="O234" s="18" t="str">
        <f t="shared" si="4"/>
        <v>Success</v>
      </c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</row>
    <row r="235">
      <c r="A235" s="13" t="s">
        <v>258</v>
      </c>
      <c r="B235" s="14" t="s">
        <v>18</v>
      </c>
      <c r="C235" s="15">
        <v>1317.67</v>
      </c>
      <c r="D235" s="13" t="s">
        <v>19</v>
      </c>
      <c r="E235" s="15">
        <v>1210.31</v>
      </c>
      <c r="F235" s="15">
        <v>5.0</v>
      </c>
      <c r="G235" s="15">
        <v>2.0</v>
      </c>
      <c r="H235" s="15">
        <v>4.0</v>
      </c>
      <c r="I235" s="16">
        <v>0.0</v>
      </c>
      <c r="J235" s="17">
        <f>IFERROR(__xludf.DUMMYFUNCTION("INDEX(GOOGLEFINANCE(A235, ""open"", $J$1, $J$1), 2, 2)"),1252.22)</f>
        <v>1252.22</v>
      </c>
      <c r="K235" s="17">
        <f>IFERROR(__xludf.DUMMYFUNCTION("INDEX(GOOGLEFINANCE(A235, ""close"", $K$1, $K$1), 2, 2)"),1197.23)</f>
        <v>1197.23</v>
      </c>
      <c r="L235" s="8">
        <f t="shared" si="1"/>
        <v>-4.391400872</v>
      </c>
      <c r="M235" s="18">
        <f t="shared" si="2"/>
        <v>-43.91400872</v>
      </c>
      <c r="N235" s="18" t="str">
        <f t="shared" si="3"/>
        <v>Put Spread</v>
      </c>
      <c r="O235" s="18" t="str">
        <f t="shared" si="4"/>
        <v>No</v>
      </c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</row>
    <row r="236">
      <c r="A236" s="13" t="s">
        <v>259</v>
      </c>
      <c r="B236" s="14" t="s">
        <v>18</v>
      </c>
      <c r="C236" s="15">
        <v>160.03</v>
      </c>
      <c r="D236" s="13" t="s">
        <v>19</v>
      </c>
      <c r="E236" s="15">
        <v>146.09</v>
      </c>
      <c r="F236" s="15">
        <v>5.0</v>
      </c>
      <c r="G236" s="15">
        <v>2.0</v>
      </c>
      <c r="H236" s="15">
        <v>5.0</v>
      </c>
      <c r="I236" s="16">
        <v>0.0</v>
      </c>
      <c r="J236" s="17">
        <f>IFERROR(__xludf.DUMMYFUNCTION("INDEX(GOOGLEFINANCE(A236, ""open"", $J$1, $J$1), 2, 2)"),152.83)</f>
        <v>152.83</v>
      </c>
      <c r="K236" s="17">
        <f>IFERROR(__xludf.DUMMYFUNCTION("INDEX(GOOGLEFINANCE(A236, ""close"", $K$1, $K$1), 2, 2)"),146.14)</f>
        <v>146.14</v>
      </c>
      <c r="L236" s="8">
        <f t="shared" si="1"/>
        <v>-4.377412812</v>
      </c>
      <c r="M236" s="18">
        <f t="shared" si="2"/>
        <v>-43.77412812</v>
      </c>
      <c r="N236" s="18" t="str">
        <f t="shared" si="3"/>
        <v>Put Spread</v>
      </c>
      <c r="O236" s="18" t="str">
        <f t="shared" si="4"/>
        <v>Success</v>
      </c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</row>
    <row r="237">
      <c r="A237" s="13" t="s">
        <v>260</v>
      </c>
      <c r="B237" s="14" t="s">
        <v>18</v>
      </c>
      <c r="C237" s="15">
        <v>461.03</v>
      </c>
      <c r="D237" s="13" t="s">
        <v>19</v>
      </c>
      <c r="E237" s="15">
        <v>424.05</v>
      </c>
      <c r="F237" s="15">
        <v>4.0</v>
      </c>
      <c r="G237" s="15">
        <v>2.0</v>
      </c>
      <c r="H237" s="15">
        <v>5.0</v>
      </c>
      <c r="I237" s="16">
        <v>0.780471116424277</v>
      </c>
      <c r="J237" s="17">
        <f>IFERROR(__xludf.DUMMYFUNCTION("INDEX(GOOGLEFINANCE(A237, ""open"", $J$1, $J$1), 2, 2)"),446.26)</f>
        <v>446.26</v>
      </c>
      <c r="K237" s="17">
        <f>IFERROR(__xludf.DUMMYFUNCTION("INDEX(GOOGLEFINANCE(A237, ""close"", $K$1, $K$1), 2, 2)"),426.74)</f>
        <v>426.74</v>
      </c>
      <c r="L237" s="8">
        <f t="shared" si="1"/>
        <v>-4.374131672</v>
      </c>
      <c r="M237" s="18">
        <f t="shared" si="2"/>
        <v>-43.74131672</v>
      </c>
      <c r="N237" s="18" t="str">
        <f t="shared" si="3"/>
        <v>Put Spread</v>
      </c>
      <c r="O237" s="18" t="str">
        <f t="shared" si="4"/>
        <v>Success</v>
      </c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</row>
    <row r="238">
      <c r="A238" s="13" t="s">
        <v>261</v>
      </c>
      <c r="B238" s="14" t="s">
        <v>18</v>
      </c>
      <c r="C238" s="15">
        <v>372.7</v>
      </c>
      <c r="D238" s="13" t="s">
        <v>19</v>
      </c>
      <c r="E238" s="15">
        <v>344.34</v>
      </c>
      <c r="F238" s="15">
        <v>3.0</v>
      </c>
      <c r="G238" s="15">
        <v>2.0</v>
      </c>
      <c r="H238" s="15">
        <v>5.0</v>
      </c>
      <c r="I238" s="16">
        <v>-1.0429705</v>
      </c>
      <c r="J238" s="17">
        <f>IFERROR(__xludf.DUMMYFUNCTION("INDEX(GOOGLEFINANCE(A238, ""open"", $J$1, $J$1), 2, 2)"),359.97)</f>
        <v>359.97</v>
      </c>
      <c r="K238" s="17">
        <f>IFERROR(__xludf.DUMMYFUNCTION("INDEX(GOOGLEFINANCE(A238, ""close"", $K$1, $K$1), 2, 2)"),344.5)</f>
        <v>344.5</v>
      </c>
      <c r="L238" s="8">
        <f t="shared" si="1"/>
        <v>-4.297580354</v>
      </c>
      <c r="M238" s="18">
        <f t="shared" si="2"/>
        <v>-42.97580354</v>
      </c>
      <c r="N238" s="18" t="str">
        <f t="shared" si="3"/>
        <v>Put Spread</v>
      </c>
      <c r="O238" s="18" t="str">
        <f t="shared" si="4"/>
        <v>Success</v>
      </c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</row>
    <row r="239">
      <c r="A239" s="13" t="s">
        <v>262</v>
      </c>
      <c r="B239" s="14" t="s">
        <v>18</v>
      </c>
      <c r="C239" s="15">
        <v>184.64</v>
      </c>
      <c r="D239" s="13" t="s">
        <v>19</v>
      </c>
      <c r="E239" s="15">
        <v>171.56</v>
      </c>
      <c r="F239" s="15">
        <v>4.0</v>
      </c>
      <c r="G239" s="15">
        <v>0.0</v>
      </c>
      <c r="H239" s="15">
        <v>4.0</v>
      </c>
      <c r="I239" s="16">
        <v>-0.9957668</v>
      </c>
      <c r="J239" s="17">
        <f>IFERROR(__xludf.DUMMYFUNCTION("INDEX(GOOGLEFINANCE(A239, ""open"", $J$1, $J$1), 2, 2)"),178.05)</f>
        <v>178.05</v>
      </c>
      <c r="K239" s="17">
        <f>IFERROR(__xludf.DUMMYFUNCTION("INDEX(GOOGLEFINANCE(A239, ""close"", $K$1, $K$1), 2, 2)"),170.4)</f>
        <v>170.4</v>
      </c>
      <c r="L239" s="20">
        <f t="shared" si="1"/>
        <v>-4.296545914</v>
      </c>
      <c r="M239" s="18">
        <f t="shared" si="2"/>
        <v>-42.96545914</v>
      </c>
      <c r="N239" s="18" t="str">
        <f t="shared" si="3"/>
        <v>Put Spread</v>
      </c>
      <c r="O239" s="18" t="str">
        <f t="shared" si="4"/>
        <v>No</v>
      </c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</row>
    <row r="240">
      <c r="A240" s="13" t="s">
        <v>263</v>
      </c>
      <c r="B240" s="26" t="s">
        <v>47</v>
      </c>
      <c r="C240" s="15">
        <v>147.23</v>
      </c>
      <c r="D240" s="13" t="s">
        <v>48</v>
      </c>
      <c r="E240" s="15">
        <v>163.97</v>
      </c>
      <c r="F240" s="15">
        <v>0.0</v>
      </c>
      <c r="G240" s="15">
        <v>4.0</v>
      </c>
      <c r="H240" s="15">
        <v>0.0</v>
      </c>
      <c r="I240" s="16">
        <v>1.67942773829472</v>
      </c>
      <c r="J240" s="17">
        <f>IFERROR(__xludf.DUMMYFUNCTION("INDEX(GOOGLEFINANCE(A240, ""open"", $J$1, $J$1), 2, 2)"),156.29)</f>
        <v>156.29</v>
      </c>
      <c r="K240" s="17">
        <f>IFERROR(__xludf.DUMMYFUNCTION("INDEX(GOOGLEFINANCE(A240, ""close"", $K$1, $K$1), 2, 2)"),162.98)</f>
        <v>162.98</v>
      </c>
      <c r="L240" s="20">
        <f t="shared" si="1"/>
        <v>-4.280504191</v>
      </c>
      <c r="M240" s="18">
        <f t="shared" si="2"/>
        <v>-42.80504191</v>
      </c>
      <c r="N240" s="18" t="str">
        <f t="shared" si="3"/>
        <v>Call Spread</v>
      </c>
      <c r="O240" s="18" t="str">
        <f t="shared" si="4"/>
        <v>Success</v>
      </c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</row>
    <row r="241">
      <c r="A241" s="13" t="s">
        <v>264</v>
      </c>
      <c r="B241" s="14" t="s">
        <v>18</v>
      </c>
      <c r="C241" s="15">
        <v>145.44</v>
      </c>
      <c r="D241" s="13" t="s">
        <v>19</v>
      </c>
      <c r="E241" s="15">
        <v>127.48</v>
      </c>
      <c r="F241" s="15">
        <v>4.0</v>
      </c>
      <c r="G241" s="15">
        <v>1.0</v>
      </c>
      <c r="H241" s="15">
        <v>4.0</v>
      </c>
      <c r="I241" s="16">
        <v>-0.8778393</v>
      </c>
      <c r="J241" s="17">
        <f>IFERROR(__xludf.DUMMYFUNCTION("INDEX(GOOGLEFINANCE(A241, ""open"", $J$1, $J$1), 2, 2)"),136.0)</f>
        <v>136</v>
      </c>
      <c r="K241" s="17">
        <f>IFERROR(__xludf.DUMMYFUNCTION("INDEX(GOOGLEFINANCE(A241, ""close"", $K$1, $K$1), 2, 2)"),130.18)</f>
        <v>130.18</v>
      </c>
      <c r="L241" s="8">
        <f t="shared" si="1"/>
        <v>-4.279411765</v>
      </c>
      <c r="M241" s="18">
        <f t="shared" si="2"/>
        <v>-42.79411765</v>
      </c>
      <c r="N241" s="18" t="str">
        <f t="shared" si="3"/>
        <v>Put Spread</v>
      </c>
      <c r="O241" s="18" t="str">
        <f t="shared" si="4"/>
        <v>Success</v>
      </c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</row>
    <row r="242">
      <c r="A242" s="13" t="s">
        <v>265</v>
      </c>
      <c r="B242" s="14" t="s">
        <v>18</v>
      </c>
      <c r="C242" s="15">
        <v>34.51</v>
      </c>
      <c r="D242" s="13" t="s">
        <v>19</v>
      </c>
      <c r="E242" s="15">
        <v>31.47</v>
      </c>
      <c r="F242" s="15">
        <v>3.0</v>
      </c>
      <c r="G242" s="15">
        <v>3.0</v>
      </c>
      <c r="H242" s="15">
        <v>3.0</v>
      </c>
      <c r="I242" s="16">
        <v>0.0</v>
      </c>
      <c r="J242" s="17">
        <f>IFERROR(__xludf.DUMMYFUNCTION("INDEX(GOOGLEFINANCE(A242, ""open"", $J$1, $J$1), 2, 2)"),33.0)</f>
        <v>33</v>
      </c>
      <c r="K242" s="17">
        <f>IFERROR(__xludf.DUMMYFUNCTION("INDEX(GOOGLEFINANCE(A242, ""close"", $K$1, $K$1), 2, 2)"),31.59)</f>
        <v>31.59</v>
      </c>
      <c r="L242" s="8">
        <f t="shared" si="1"/>
        <v>-4.272727273</v>
      </c>
      <c r="M242" s="18">
        <f t="shared" si="2"/>
        <v>-42.72727273</v>
      </c>
      <c r="N242" s="18" t="str">
        <f t="shared" si="3"/>
        <v>Put Spread</v>
      </c>
      <c r="O242" s="18" t="str">
        <f t="shared" si="4"/>
        <v>Success</v>
      </c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</row>
    <row r="243">
      <c r="A243" s="13" t="s">
        <v>266</v>
      </c>
      <c r="B243" s="14" t="s">
        <v>18</v>
      </c>
      <c r="C243" s="15">
        <v>74.54</v>
      </c>
      <c r="D243" s="13" t="s">
        <v>19</v>
      </c>
      <c r="E243" s="15">
        <v>69.85</v>
      </c>
      <c r="F243" s="15">
        <v>4.0</v>
      </c>
      <c r="G243" s="15">
        <v>2.0</v>
      </c>
      <c r="H243" s="15">
        <v>5.0</v>
      </c>
      <c r="I243" s="16">
        <v>0.0</v>
      </c>
      <c r="J243" s="17">
        <f>IFERROR(__xludf.DUMMYFUNCTION("INDEX(GOOGLEFINANCE(A243, ""open"", $J$1, $J$1), 2, 2)"),72.34)</f>
        <v>72.34</v>
      </c>
      <c r="K243" s="17">
        <f>IFERROR(__xludf.DUMMYFUNCTION("INDEX(GOOGLEFINANCE(A243, ""close"", $K$1, $K$1), 2, 2)"),69.25)</f>
        <v>69.25</v>
      </c>
      <c r="L243" s="8">
        <f t="shared" si="1"/>
        <v>-4.271495715</v>
      </c>
      <c r="M243" s="18">
        <f t="shared" si="2"/>
        <v>-42.71495715</v>
      </c>
      <c r="N243" s="18" t="str">
        <f t="shared" si="3"/>
        <v>Put Spread</v>
      </c>
      <c r="O243" s="18" t="str">
        <f t="shared" si="4"/>
        <v>No</v>
      </c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</row>
    <row r="244">
      <c r="A244" s="13" t="s">
        <v>267</v>
      </c>
      <c r="B244" s="14" t="s">
        <v>18</v>
      </c>
      <c r="C244" s="15">
        <v>23.55</v>
      </c>
      <c r="D244" s="13" t="s">
        <v>19</v>
      </c>
      <c r="E244" s="15">
        <v>21.35</v>
      </c>
      <c r="F244" s="15">
        <v>5.0</v>
      </c>
      <c r="G244" s="15">
        <v>1.0</v>
      </c>
      <c r="H244" s="15">
        <v>4.0</v>
      </c>
      <c r="I244" s="16">
        <v>0.0</v>
      </c>
      <c r="J244" s="17">
        <f>IFERROR(__xludf.DUMMYFUNCTION("INDEX(GOOGLEFINANCE(A244, ""open"", $J$1, $J$1), 2, 2)"),22.55)</f>
        <v>22.55</v>
      </c>
      <c r="K244" s="17">
        <f>IFERROR(__xludf.DUMMYFUNCTION("INDEX(GOOGLEFINANCE(A244, ""close"", $K$1, $K$1), 2, 2)"),21.6)</f>
        <v>21.6</v>
      </c>
      <c r="L244" s="8">
        <f t="shared" si="1"/>
        <v>-4.21286031</v>
      </c>
      <c r="M244" s="18">
        <f t="shared" si="2"/>
        <v>-42.1286031</v>
      </c>
      <c r="N244" s="18" t="str">
        <f t="shared" si="3"/>
        <v>Put Spread</v>
      </c>
      <c r="O244" s="18" t="str">
        <f t="shared" si="4"/>
        <v>Success</v>
      </c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</row>
    <row r="245">
      <c r="A245" s="13" t="s">
        <v>268</v>
      </c>
      <c r="B245" s="14" t="s">
        <v>18</v>
      </c>
      <c r="C245" s="15">
        <v>156.09</v>
      </c>
      <c r="D245" s="13" t="s">
        <v>19</v>
      </c>
      <c r="E245" s="15">
        <v>146.45</v>
      </c>
      <c r="F245" s="15">
        <v>5.0</v>
      </c>
      <c r="G245" s="15">
        <v>1.0</v>
      </c>
      <c r="H245" s="15">
        <v>2.0</v>
      </c>
      <c r="I245" s="16">
        <v>0.962947844428507</v>
      </c>
      <c r="J245" s="17">
        <f>IFERROR(__xludf.DUMMYFUNCTION("INDEX(GOOGLEFINANCE(A245, ""open"", $J$1, $J$1), 2, 2)"),150.6)</f>
        <v>150.6</v>
      </c>
      <c r="K245" s="17">
        <f>IFERROR(__xludf.DUMMYFUNCTION("INDEX(GOOGLEFINANCE(A245, ""close"", $K$1, $K$1), 2, 2)"),144.41)</f>
        <v>144.41</v>
      </c>
      <c r="L245" s="8">
        <f t="shared" si="1"/>
        <v>-4.110225764</v>
      </c>
      <c r="M245" s="18">
        <f t="shared" si="2"/>
        <v>-41.10225764</v>
      </c>
      <c r="N245" s="18" t="str">
        <f t="shared" si="3"/>
        <v>Put Spread</v>
      </c>
      <c r="O245" s="18" t="str">
        <f t="shared" si="4"/>
        <v>No</v>
      </c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</row>
    <row r="246">
      <c r="A246" s="13" t="s">
        <v>269</v>
      </c>
      <c r="B246" s="14" t="s">
        <v>18</v>
      </c>
      <c r="C246" s="15">
        <v>158.83</v>
      </c>
      <c r="D246" s="13" t="s">
        <v>19</v>
      </c>
      <c r="E246" s="15">
        <v>152.21</v>
      </c>
      <c r="F246" s="15">
        <v>3.0</v>
      </c>
      <c r="G246" s="15">
        <v>1.0</v>
      </c>
      <c r="H246" s="15">
        <v>5.0</v>
      </c>
      <c r="I246" s="16">
        <v>0.0</v>
      </c>
      <c r="J246" s="17">
        <f>IFERROR(__xludf.DUMMYFUNCTION("INDEX(GOOGLEFINANCE(A246, ""open"", $J$1, $J$1), 2, 2)"),155.96)</f>
        <v>155.96</v>
      </c>
      <c r="K246" s="17">
        <f>IFERROR(__xludf.DUMMYFUNCTION("INDEX(GOOGLEFINANCE(A246, ""close"", $K$1, $K$1), 2, 2)"),149.56)</f>
        <v>149.56</v>
      </c>
      <c r="L246" s="8">
        <f t="shared" si="1"/>
        <v>-4.103616312</v>
      </c>
      <c r="M246" s="18">
        <f t="shared" si="2"/>
        <v>-41.03616312</v>
      </c>
      <c r="N246" s="18" t="str">
        <f t="shared" si="3"/>
        <v>Put Spread</v>
      </c>
      <c r="O246" s="18" t="str">
        <f t="shared" si="4"/>
        <v>No</v>
      </c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</row>
    <row r="247">
      <c r="A247" s="13" t="s">
        <v>270</v>
      </c>
      <c r="B247" s="26" t="s">
        <v>47</v>
      </c>
      <c r="C247" s="15">
        <v>55.07</v>
      </c>
      <c r="D247" s="13" t="s">
        <v>48</v>
      </c>
      <c r="E247" s="15">
        <v>60.37</v>
      </c>
      <c r="F247" s="15">
        <v>0.0</v>
      </c>
      <c r="G247" s="15">
        <v>2.0</v>
      </c>
      <c r="H247" s="15">
        <v>1.0</v>
      </c>
      <c r="I247" s="16">
        <v>0.0</v>
      </c>
      <c r="J247" s="17">
        <f>IFERROR(__xludf.DUMMYFUNCTION("INDEX(GOOGLEFINANCE(A247, ""open"", $J$1, $J$1), 2, 2)"),57.32)</f>
        <v>57.32</v>
      </c>
      <c r="K247" s="17">
        <f>IFERROR(__xludf.DUMMYFUNCTION("INDEX(GOOGLEFINANCE(A247, ""close"", $K$1, $K$1), 2, 2)"),59.67)</f>
        <v>59.67</v>
      </c>
      <c r="L247" s="20">
        <f t="shared" si="1"/>
        <v>-4.099790649</v>
      </c>
      <c r="M247" s="18">
        <f t="shared" si="2"/>
        <v>-40.99790649</v>
      </c>
      <c r="N247" s="18" t="str">
        <f t="shared" si="3"/>
        <v>Call Spread</v>
      </c>
      <c r="O247" s="18" t="str">
        <f t="shared" si="4"/>
        <v>Success</v>
      </c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</row>
    <row r="248">
      <c r="A248" s="13" t="s">
        <v>271</v>
      </c>
      <c r="B248" s="14" t="s">
        <v>18</v>
      </c>
      <c r="C248" s="15">
        <v>108.93</v>
      </c>
      <c r="D248" s="13" t="s">
        <v>19</v>
      </c>
      <c r="E248" s="15">
        <v>101.49</v>
      </c>
      <c r="F248" s="15">
        <v>5.0</v>
      </c>
      <c r="G248" s="15">
        <v>2.0</v>
      </c>
      <c r="H248" s="15">
        <v>3.0</v>
      </c>
      <c r="I248" s="16">
        <v>0.0</v>
      </c>
      <c r="J248" s="17">
        <f>IFERROR(__xludf.DUMMYFUNCTION("INDEX(GOOGLEFINANCE(A248, ""open"", $J$1, $J$1), 2, 2)"),105.0)</f>
        <v>105</v>
      </c>
      <c r="K248" s="17">
        <f>IFERROR(__xludf.DUMMYFUNCTION("INDEX(GOOGLEFINANCE(A248, ""close"", $K$1, $K$1), 2, 2)"),100.71)</f>
        <v>100.71</v>
      </c>
      <c r="L248" s="8">
        <f t="shared" si="1"/>
        <v>-4.085714286</v>
      </c>
      <c r="M248" s="18">
        <f t="shared" si="2"/>
        <v>-40.85714286</v>
      </c>
      <c r="N248" s="18" t="str">
        <f t="shared" si="3"/>
        <v>Put Spread</v>
      </c>
      <c r="O248" s="18" t="str">
        <f t="shared" si="4"/>
        <v>No</v>
      </c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</row>
    <row r="249">
      <c r="A249" s="13" t="s">
        <v>272</v>
      </c>
      <c r="B249" s="14" t="s">
        <v>18</v>
      </c>
      <c r="C249" s="15">
        <v>502.39</v>
      </c>
      <c r="D249" s="13" t="s">
        <v>19</v>
      </c>
      <c r="E249" s="15">
        <v>468.67</v>
      </c>
      <c r="F249" s="15">
        <v>5.0</v>
      </c>
      <c r="G249" s="15">
        <v>3.0</v>
      </c>
      <c r="H249" s="15">
        <v>4.0</v>
      </c>
      <c r="I249" s="16">
        <v>-1.2284019</v>
      </c>
      <c r="J249" s="17">
        <f>IFERROR(__xludf.DUMMYFUNCTION("INDEX(GOOGLEFINANCE(A249, ""open"", $J$1, $J$1), 2, 2)"),486.0)</f>
        <v>486</v>
      </c>
      <c r="K249" s="17">
        <f>IFERROR(__xludf.DUMMYFUNCTION("INDEX(GOOGLEFINANCE(A249, ""close"", $K$1, $K$1), 2, 2)"),466.17)</f>
        <v>466.17</v>
      </c>
      <c r="L249" s="20">
        <f t="shared" si="1"/>
        <v>-4.080246914</v>
      </c>
      <c r="M249" s="18">
        <f t="shared" si="2"/>
        <v>-40.80246914</v>
      </c>
      <c r="N249" s="18" t="str">
        <f t="shared" si="3"/>
        <v>Put Spread</v>
      </c>
      <c r="O249" s="18" t="str">
        <f t="shared" si="4"/>
        <v>No</v>
      </c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</row>
    <row r="250">
      <c r="A250" s="13" t="s">
        <v>273</v>
      </c>
      <c r="B250" s="14" t="s">
        <v>18</v>
      </c>
      <c r="C250" s="15">
        <v>52.62</v>
      </c>
      <c r="D250" s="13" t="s">
        <v>19</v>
      </c>
      <c r="E250" s="15">
        <v>47.48</v>
      </c>
      <c r="F250" s="15">
        <v>4.0</v>
      </c>
      <c r="G250" s="15">
        <v>2.0</v>
      </c>
      <c r="H250" s="15">
        <v>4.0</v>
      </c>
      <c r="I250" s="16">
        <v>2.34935060702514</v>
      </c>
      <c r="J250" s="17">
        <f>IFERROR(__xludf.DUMMYFUNCTION("INDEX(GOOGLEFINANCE(A250, ""open"", $J$1, $J$1), 2, 2)"),49.6)</f>
        <v>49.6</v>
      </c>
      <c r="K250" s="17">
        <f>IFERROR(__xludf.DUMMYFUNCTION("INDEX(GOOGLEFINANCE(A250, ""close"", $K$1, $K$1), 2, 2)"),47.58)</f>
        <v>47.58</v>
      </c>
      <c r="L250" s="8">
        <f t="shared" si="1"/>
        <v>-4.072580645</v>
      </c>
      <c r="M250" s="18">
        <f t="shared" si="2"/>
        <v>-40.72580645</v>
      </c>
      <c r="N250" s="18" t="str">
        <f t="shared" si="3"/>
        <v>Put Spread</v>
      </c>
      <c r="O250" s="18" t="str">
        <f t="shared" si="4"/>
        <v>Success</v>
      </c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</row>
    <row r="251">
      <c r="A251" s="13" t="s">
        <v>274</v>
      </c>
      <c r="B251" s="14" t="s">
        <v>18</v>
      </c>
      <c r="C251" s="15">
        <v>68.49</v>
      </c>
      <c r="D251" s="13" t="s">
        <v>19</v>
      </c>
      <c r="E251" s="15">
        <v>62.51</v>
      </c>
      <c r="F251" s="15">
        <v>5.0</v>
      </c>
      <c r="G251" s="15">
        <v>0.0</v>
      </c>
      <c r="H251" s="15">
        <v>1.0</v>
      </c>
      <c r="I251" s="16">
        <v>0.0</v>
      </c>
      <c r="J251" s="17">
        <f>IFERROR(__xludf.DUMMYFUNCTION("INDEX(GOOGLEFINANCE(A251, ""open"", $J$1, $J$1), 2, 2)"),66.31)</f>
        <v>66.31</v>
      </c>
      <c r="K251" s="17">
        <f>IFERROR(__xludf.DUMMYFUNCTION("INDEX(GOOGLEFINANCE(A251, ""close"", $K$1, $K$1), 2, 2)"),63.61)</f>
        <v>63.61</v>
      </c>
      <c r="L251" s="8">
        <f t="shared" si="1"/>
        <v>-4.071784045</v>
      </c>
      <c r="M251" s="18">
        <f t="shared" si="2"/>
        <v>-40.71784045</v>
      </c>
      <c r="N251" s="18" t="str">
        <f t="shared" si="3"/>
        <v>Put Spread</v>
      </c>
      <c r="O251" s="18" t="str">
        <f t="shared" si="4"/>
        <v>Success</v>
      </c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</row>
    <row r="252">
      <c r="A252" s="13" t="s">
        <v>275</v>
      </c>
      <c r="B252" s="14" t="s">
        <v>18</v>
      </c>
      <c r="C252" s="15">
        <v>127.23</v>
      </c>
      <c r="D252" s="13" t="s">
        <v>19</v>
      </c>
      <c r="E252" s="15">
        <v>112.83</v>
      </c>
      <c r="F252" s="15">
        <v>4.0</v>
      </c>
      <c r="G252" s="15">
        <v>3.0</v>
      </c>
      <c r="H252" s="15">
        <v>5.0</v>
      </c>
      <c r="I252" s="16">
        <v>-1.8590932</v>
      </c>
      <c r="J252" s="17">
        <f>IFERROR(__xludf.DUMMYFUNCTION("INDEX(GOOGLEFINANCE(A252, ""open"", $J$1, $J$1), 2, 2)"),122.03)</f>
        <v>122.03</v>
      </c>
      <c r="K252" s="17">
        <f>IFERROR(__xludf.DUMMYFUNCTION("INDEX(GOOGLEFINANCE(A252, ""close"", $K$1, $K$1), 2, 2)"),117.07)</f>
        <v>117.07</v>
      </c>
      <c r="L252" s="8">
        <f t="shared" si="1"/>
        <v>-4.064574285</v>
      </c>
      <c r="M252" s="18">
        <f t="shared" si="2"/>
        <v>-40.64574285</v>
      </c>
      <c r="N252" s="18" t="str">
        <f t="shared" si="3"/>
        <v>Put Spread</v>
      </c>
      <c r="O252" s="18" t="str">
        <f t="shared" si="4"/>
        <v>Success</v>
      </c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</row>
    <row r="253">
      <c r="A253" s="13" t="s">
        <v>276</v>
      </c>
      <c r="B253" s="14" t="s">
        <v>18</v>
      </c>
      <c r="C253" s="15">
        <v>76.41</v>
      </c>
      <c r="D253" s="13" t="s">
        <v>19</v>
      </c>
      <c r="E253" s="15">
        <v>72.91</v>
      </c>
      <c r="F253" s="15">
        <v>5.0</v>
      </c>
      <c r="G253" s="15">
        <v>1.0</v>
      </c>
      <c r="H253" s="15">
        <v>4.0</v>
      </c>
      <c r="I253" s="16">
        <v>-0.7703553</v>
      </c>
      <c r="J253" s="17">
        <f>IFERROR(__xludf.DUMMYFUNCTION("INDEX(GOOGLEFINANCE(A253, ""open"", $J$1, $J$1), 2, 2)"),74.56)</f>
        <v>74.56</v>
      </c>
      <c r="K253" s="17">
        <f>IFERROR(__xludf.DUMMYFUNCTION("INDEX(GOOGLEFINANCE(A253, ""close"", $K$1, $K$1), 2, 2)"),71.53)</f>
        <v>71.53</v>
      </c>
      <c r="L253" s="8">
        <f t="shared" si="1"/>
        <v>-4.063841202</v>
      </c>
      <c r="M253" s="18">
        <f t="shared" si="2"/>
        <v>-40.63841202</v>
      </c>
      <c r="N253" s="18" t="str">
        <f t="shared" si="3"/>
        <v>Put Spread</v>
      </c>
      <c r="O253" s="18" t="str">
        <f t="shared" si="4"/>
        <v>No</v>
      </c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</row>
    <row r="254">
      <c r="A254" s="13" t="s">
        <v>277</v>
      </c>
      <c r="B254" s="14" t="s">
        <v>18</v>
      </c>
      <c r="C254" s="15">
        <v>6.93</v>
      </c>
      <c r="D254" s="13" t="s">
        <v>19</v>
      </c>
      <c r="E254" s="15">
        <v>5.85</v>
      </c>
      <c r="F254" s="15">
        <v>5.0</v>
      </c>
      <c r="G254" s="15">
        <v>3.0</v>
      </c>
      <c r="H254" s="15">
        <v>4.0</v>
      </c>
      <c r="I254" s="16">
        <v>1.36653643352493</v>
      </c>
      <c r="J254" s="17">
        <f>IFERROR(__xludf.DUMMYFUNCTION("INDEX(GOOGLEFINANCE(A254, ""open"", $J$1, $J$1), 2, 2)"),6.31)</f>
        <v>6.31</v>
      </c>
      <c r="K254" s="17">
        <f>IFERROR(__xludf.DUMMYFUNCTION("INDEX(GOOGLEFINANCE(A254, ""close"", $K$1, $K$1), 2, 2)"),6.07)</f>
        <v>6.07</v>
      </c>
      <c r="L254" s="20">
        <f t="shared" si="1"/>
        <v>-3.803486529</v>
      </c>
      <c r="M254" s="18">
        <f t="shared" si="2"/>
        <v>-38.03486529</v>
      </c>
      <c r="N254" s="18" t="str">
        <f t="shared" si="3"/>
        <v>Put Spread</v>
      </c>
      <c r="O254" s="18" t="str">
        <f t="shared" si="4"/>
        <v>Success</v>
      </c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</row>
    <row r="255">
      <c r="A255" s="13" t="s">
        <v>278</v>
      </c>
      <c r="B255" s="14" t="s">
        <v>18</v>
      </c>
      <c r="C255" s="15">
        <v>13.17</v>
      </c>
      <c r="D255" s="13" t="s">
        <v>19</v>
      </c>
      <c r="E255" s="15">
        <v>11.57</v>
      </c>
      <c r="F255" s="15">
        <v>4.0</v>
      </c>
      <c r="G255" s="15">
        <v>2.0</v>
      </c>
      <c r="H255" s="15">
        <v>5.0</v>
      </c>
      <c r="I255" s="16">
        <v>4.03826142625596</v>
      </c>
      <c r="J255" s="17">
        <f>IFERROR(__xludf.DUMMYFUNCTION("INDEX(GOOGLEFINANCE(A255, ""open"", $J$1, $J$1), 2, 2)"),12.65)</f>
        <v>12.65</v>
      </c>
      <c r="K255" s="17">
        <f>IFERROR(__xludf.DUMMYFUNCTION("INDEX(GOOGLEFINANCE(A255, ""close"", $K$1, $K$1), 2, 2)"),12.17)</f>
        <v>12.17</v>
      </c>
      <c r="L255" s="8">
        <f t="shared" si="1"/>
        <v>-3.794466403</v>
      </c>
      <c r="M255" s="18">
        <f t="shared" si="2"/>
        <v>-37.94466403</v>
      </c>
      <c r="N255" s="18" t="str">
        <f t="shared" si="3"/>
        <v>Put Spread</v>
      </c>
      <c r="O255" s="18" t="str">
        <f t="shared" si="4"/>
        <v>Success</v>
      </c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</row>
    <row r="256">
      <c r="A256" s="13" t="s">
        <v>279</v>
      </c>
      <c r="B256" s="14" t="s">
        <v>18</v>
      </c>
      <c r="C256" s="15">
        <v>302.45</v>
      </c>
      <c r="D256" s="13" t="s">
        <v>19</v>
      </c>
      <c r="E256" s="15">
        <v>285.55</v>
      </c>
      <c r="F256" s="15">
        <v>4.0</v>
      </c>
      <c r="G256" s="15">
        <v>2.0</v>
      </c>
      <c r="H256" s="15">
        <v>4.0</v>
      </c>
      <c r="I256" s="16">
        <v>-0.5327809</v>
      </c>
      <c r="J256" s="17">
        <f>IFERROR(__xludf.DUMMYFUNCTION("INDEX(GOOGLEFINANCE(A256, ""open"", $J$1, $J$1), 2, 2)"),295.61)</f>
        <v>295.61</v>
      </c>
      <c r="K256" s="17">
        <f>IFERROR(__xludf.DUMMYFUNCTION("INDEX(GOOGLEFINANCE(A256, ""close"", $K$1, $K$1), 2, 2)"),284.45)</f>
        <v>284.45</v>
      </c>
      <c r="L256" s="8">
        <f t="shared" si="1"/>
        <v>-3.77524441</v>
      </c>
      <c r="M256" s="18">
        <f t="shared" si="2"/>
        <v>-37.7524441</v>
      </c>
      <c r="N256" s="18" t="str">
        <f t="shared" si="3"/>
        <v>Put Spread</v>
      </c>
      <c r="O256" s="18" t="str">
        <f t="shared" si="4"/>
        <v>No</v>
      </c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</row>
    <row r="257">
      <c r="A257" s="13" t="s">
        <v>280</v>
      </c>
      <c r="B257" s="14" t="s">
        <v>18</v>
      </c>
      <c r="C257" s="15">
        <v>137.72</v>
      </c>
      <c r="D257" s="13" t="s">
        <v>19</v>
      </c>
      <c r="E257" s="15">
        <v>129.68</v>
      </c>
      <c r="F257" s="15">
        <v>3.0</v>
      </c>
      <c r="G257" s="15">
        <v>1.0</v>
      </c>
      <c r="H257" s="15">
        <v>5.0</v>
      </c>
      <c r="I257" s="16">
        <v>0.0</v>
      </c>
      <c r="J257" s="17">
        <f>IFERROR(__xludf.DUMMYFUNCTION("INDEX(GOOGLEFINANCE(A257, ""open"", $J$1, $J$1), 2, 2)"),133.33)</f>
        <v>133.33</v>
      </c>
      <c r="K257" s="17">
        <f>IFERROR(__xludf.DUMMYFUNCTION("INDEX(GOOGLEFINANCE(A257, ""close"", $K$1, $K$1), 2, 2)"),128.3)</f>
        <v>128.3</v>
      </c>
      <c r="L257" s="20">
        <f t="shared" si="1"/>
        <v>-3.772594315</v>
      </c>
      <c r="M257" s="18">
        <f t="shared" si="2"/>
        <v>-37.72594315</v>
      </c>
      <c r="N257" s="18" t="str">
        <f t="shared" si="3"/>
        <v>Put Spread</v>
      </c>
      <c r="O257" s="18" t="str">
        <f t="shared" si="4"/>
        <v>No</v>
      </c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</row>
    <row r="258">
      <c r="A258" s="13" t="s">
        <v>281</v>
      </c>
      <c r="B258" s="14" t="s">
        <v>18</v>
      </c>
      <c r="C258" s="15">
        <v>602.45</v>
      </c>
      <c r="D258" s="13" t="s">
        <v>19</v>
      </c>
      <c r="E258" s="15">
        <v>573.09</v>
      </c>
      <c r="F258" s="15">
        <v>5.0</v>
      </c>
      <c r="G258" s="15">
        <v>1.0</v>
      </c>
      <c r="H258" s="15">
        <v>3.0</v>
      </c>
      <c r="I258" s="16">
        <v>0.0</v>
      </c>
      <c r="J258" s="17">
        <f>IFERROR(__xludf.DUMMYFUNCTION("INDEX(GOOGLEFINANCE(A258, ""open"", $J$1, $J$1), 2, 2)"),589.22)</f>
        <v>589.22</v>
      </c>
      <c r="K258" s="17">
        <f>IFERROR(__xludf.DUMMYFUNCTION("INDEX(GOOGLEFINANCE(A258, ""close"", $K$1, $K$1), 2, 2)"),567.09)</f>
        <v>567.09</v>
      </c>
      <c r="L258" s="20">
        <f t="shared" si="1"/>
        <v>-3.755812769</v>
      </c>
      <c r="M258" s="18">
        <f t="shared" si="2"/>
        <v>-37.55812769</v>
      </c>
      <c r="N258" s="18" t="str">
        <f t="shared" si="3"/>
        <v>Put Spread</v>
      </c>
      <c r="O258" s="18" t="str">
        <f t="shared" si="4"/>
        <v>No</v>
      </c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</row>
    <row r="259">
      <c r="A259" s="13" t="s">
        <v>282</v>
      </c>
      <c r="B259" s="14" t="s">
        <v>18</v>
      </c>
      <c r="C259" s="15">
        <v>84.53</v>
      </c>
      <c r="D259" s="13" t="s">
        <v>19</v>
      </c>
      <c r="E259" s="15">
        <v>78.55</v>
      </c>
      <c r="F259" s="15">
        <v>5.0</v>
      </c>
      <c r="G259" s="15">
        <v>2.0</v>
      </c>
      <c r="H259" s="15">
        <v>3.0</v>
      </c>
      <c r="I259" s="16">
        <v>0.0</v>
      </c>
      <c r="J259" s="17">
        <f>IFERROR(__xludf.DUMMYFUNCTION("INDEX(GOOGLEFINANCE(A259, ""open"", $J$1, $J$1), 2, 2)"),82.07)</f>
        <v>82.07</v>
      </c>
      <c r="K259" s="17">
        <f>IFERROR(__xludf.DUMMYFUNCTION("INDEX(GOOGLEFINANCE(A259, ""close"", $K$1, $K$1), 2, 2)"),78.99)</f>
        <v>78.99</v>
      </c>
      <c r="L259" s="8">
        <f t="shared" si="1"/>
        <v>-3.752893871</v>
      </c>
      <c r="M259" s="18">
        <f t="shared" si="2"/>
        <v>-37.52893871</v>
      </c>
      <c r="N259" s="18" t="str">
        <f t="shared" si="3"/>
        <v>Put Spread</v>
      </c>
      <c r="O259" s="18" t="str">
        <f t="shared" si="4"/>
        <v>Success</v>
      </c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</row>
    <row r="260">
      <c r="A260" s="13" t="s">
        <v>283</v>
      </c>
      <c r="B260" s="14" t="s">
        <v>18</v>
      </c>
      <c r="C260" s="15">
        <v>97.14</v>
      </c>
      <c r="D260" s="13" t="s">
        <v>19</v>
      </c>
      <c r="E260" s="15">
        <v>91.34</v>
      </c>
      <c r="F260" s="15">
        <v>2.0</v>
      </c>
      <c r="G260" s="15">
        <v>2.0</v>
      </c>
      <c r="H260" s="15">
        <v>1.0</v>
      </c>
      <c r="I260" s="16">
        <v>1.21887931689118</v>
      </c>
      <c r="J260" s="17">
        <f>IFERROR(__xludf.DUMMYFUNCTION("INDEX(GOOGLEFINANCE(A260, ""open"", $J$1, $J$1), 2, 2)"),94.14)</f>
        <v>94.14</v>
      </c>
      <c r="K260" s="17">
        <f>IFERROR(__xludf.DUMMYFUNCTION("INDEX(GOOGLEFINANCE(A260, ""close"", $K$1, $K$1), 2, 2)"),90.61)</f>
        <v>90.61</v>
      </c>
      <c r="L260" s="8">
        <f t="shared" si="1"/>
        <v>-3.749734438</v>
      </c>
      <c r="M260" s="18">
        <f t="shared" si="2"/>
        <v>-37.49734438</v>
      </c>
      <c r="N260" s="18" t="str">
        <f t="shared" si="3"/>
        <v>Put Spread</v>
      </c>
      <c r="O260" s="18" t="str">
        <f t="shared" si="4"/>
        <v>No</v>
      </c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</row>
    <row r="261">
      <c r="A261" s="13" t="s">
        <v>284</v>
      </c>
      <c r="B261" s="14" t="s">
        <v>18</v>
      </c>
      <c r="C261" s="15">
        <v>35.43</v>
      </c>
      <c r="D261" s="13" t="s">
        <v>19</v>
      </c>
      <c r="E261" s="15">
        <v>33.23</v>
      </c>
      <c r="F261" s="15">
        <v>4.0</v>
      </c>
      <c r="G261" s="15">
        <v>2.0</v>
      </c>
      <c r="H261" s="15">
        <v>5.0</v>
      </c>
      <c r="I261" s="16">
        <v>0.0</v>
      </c>
      <c r="J261" s="17">
        <f>IFERROR(__xludf.DUMMYFUNCTION("INDEX(GOOGLEFINANCE(A261, ""open"", $J$1, $J$1), 2, 2)"),34.41)</f>
        <v>34.41</v>
      </c>
      <c r="K261" s="17">
        <f>IFERROR(__xludf.DUMMYFUNCTION("INDEX(GOOGLEFINANCE(A261, ""close"", $K$1, $K$1), 2, 2)"),33.12)</f>
        <v>33.12</v>
      </c>
      <c r="L261" s="8">
        <f t="shared" si="1"/>
        <v>-3.748910201</v>
      </c>
      <c r="M261" s="18">
        <f t="shared" si="2"/>
        <v>-37.48910201</v>
      </c>
      <c r="N261" s="18" t="str">
        <f t="shared" si="3"/>
        <v>Put Spread</v>
      </c>
      <c r="O261" s="18" t="str">
        <f t="shared" si="4"/>
        <v>No</v>
      </c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</row>
    <row r="262">
      <c r="A262" s="13" t="s">
        <v>285</v>
      </c>
      <c r="B262" s="14" t="s">
        <v>18</v>
      </c>
      <c r="C262" s="15">
        <v>46.07</v>
      </c>
      <c r="D262" s="13" t="s">
        <v>19</v>
      </c>
      <c r="E262" s="15">
        <v>43.35</v>
      </c>
      <c r="F262" s="15">
        <v>5.0</v>
      </c>
      <c r="G262" s="15">
        <v>1.0</v>
      </c>
      <c r="H262" s="15">
        <v>3.0</v>
      </c>
      <c r="I262" s="16">
        <v>0.0</v>
      </c>
      <c r="J262" s="17">
        <f>IFERROR(__xludf.DUMMYFUNCTION("INDEX(GOOGLEFINANCE(A262, ""open"", $J$1, $J$1), 2, 2)"),45.1)</f>
        <v>45.1</v>
      </c>
      <c r="K262" s="17">
        <f>IFERROR(__xludf.DUMMYFUNCTION("INDEX(GOOGLEFINANCE(A262, ""close"", $K$1, $K$1), 2, 2)"),43.41)</f>
        <v>43.41</v>
      </c>
      <c r="L262" s="8">
        <f t="shared" si="1"/>
        <v>-3.747228381</v>
      </c>
      <c r="M262" s="18">
        <f t="shared" si="2"/>
        <v>-37.47228381</v>
      </c>
      <c r="N262" s="18" t="str">
        <f t="shared" si="3"/>
        <v>Put Spread</v>
      </c>
      <c r="O262" s="18" t="str">
        <f t="shared" si="4"/>
        <v>Success</v>
      </c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</row>
    <row r="263">
      <c r="A263" s="13" t="s">
        <v>286</v>
      </c>
      <c r="B263" s="14" t="s">
        <v>18</v>
      </c>
      <c r="C263" s="15">
        <v>85.33</v>
      </c>
      <c r="D263" s="13" t="s">
        <v>19</v>
      </c>
      <c r="E263" s="15">
        <v>78.55</v>
      </c>
      <c r="F263" s="15">
        <v>2.0</v>
      </c>
      <c r="G263" s="15">
        <v>3.0</v>
      </c>
      <c r="H263" s="15">
        <v>5.0</v>
      </c>
      <c r="I263" s="16">
        <v>0.0</v>
      </c>
      <c r="J263" s="17">
        <f>IFERROR(__xludf.DUMMYFUNCTION("INDEX(GOOGLEFINANCE(A263, ""open"", $J$1, $J$1), 2, 2)"),81.41)</f>
        <v>81.41</v>
      </c>
      <c r="K263" s="17">
        <f>IFERROR(__xludf.DUMMYFUNCTION("INDEX(GOOGLEFINANCE(A263, ""close"", $K$1, $K$1), 2, 2)"),78.36)</f>
        <v>78.36</v>
      </c>
      <c r="L263" s="8">
        <f t="shared" si="1"/>
        <v>-3.746468493</v>
      </c>
      <c r="M263" s="18">
        <f t="shared" si="2"/>
        <v>-37.46468493</v>
      </c>
      <c r="N263" s="18" t="str">
        <f t="shared" si="3"/>
        <v>Put Spread</v>
      </c>
      <c r="O263" s="18" t="str">
        <f t="shared" si="4"/>
        <v>No</v>
      </c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</row>
    <row r="264">
      <c r="A264" s="13" t="s">
        <v>287</v>
      </c>
      <c r="B264" s="14" t="s">
        <v>18</v>
      </c>
      <c r="C264" s="15">
        <v>110.72</v>
      </c>
      <c r="D264" s="13" t="s">
        <v>19</v>
      </c>
      <c r="E264" s="15">
        <v>103.14</v>
      </c>
      <c r="F264" s="15">
        <v>5.0</v>
      </c>
      <c r="G264" s="15">
        <v>2.0</v>
      </c>
      <c r="H264" s="15">
        <v>4.0</v>
      </c>
      <c r="I264" s="16">
        <v>0.0</v>
      </c>
      <c r="J264" s="17">
        <f>IFERROR(__xludf.DUMMYFUNCTION("INDEX(GOOGLEFINANCE(A264, ""open"", $J$1, $J$1), 2, 2)"),107.07)</f>
        <v>107.07</v>
      </c>
      <c r="K264" s="17">
        <f>IFERROR(__xludf.DUMMYFUNCTION("INDEX(GOOGLEFINANCE(A264, ""close"", $K$1, $K$1), 2, 2)"),103.06)</f>
        <v>103.06</v>
      </c>
      <c r="L264" s="8">
        <f t="shared" si="1"/>
        <v>-3.745213412</v>
      </c>
      <c r="M264" s="18">
        <f t="shared" si="2"/>
        <v>-37.45213412</v>
      </c>
      <c r="N264" s="18" t="str">
        <f t="shared" si="3"/>
        <v>Put Spread</v>
      </c>
      <c r="O264" s="18" t="str">
        <f t="shared" si="4"/>
        <v>No</v>
      </c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</row>
    <row r="265">
      <c r="A265" s="13" t="s">
        <v>288</v>
      </c>
      <c r="B265" s="14" t="s">
        <v>18</v>
      </c>
      <c r="C265" s="15">
        <v>382.91</v>
      </c>
      <c r="D265" s="13" t="s">
        <v>19</v>
      </c>
      <c r="E265" s="15">
        <v>356.13</v>
      </c>
      <c r="F265" s="15">
        <v>5.0</v>
      </c>
      <c r="G265" s="15">
        <v>2.0</v>
      </c>
      <c r="H265" s="15">
        <v>4.0</v>
      </c>
      <c r="I265" s="16">
        <v>0.0</v>
      </c>
      <c r="J265" s="17">
        <f>IFERROR(__xludf.DUMMYFUNCTION("INDEX(GOOGLEFINANCE(A265, ""open"", $J$1, $J$1), 2, 2)"),369.66)</f>
        <v>369.66</v>
      </c>
      <c r="K265" s="17">
        <f>IFERROR(__xludf.DUMMYFUNCTION("INDEX(GOOGLEFINANCE(A265, ""close"", $K$1, $K$1), 2, 2)"),355.84)</f>
        <v>355.84</v>
      </c>
      <c r="L265" s="8">
        <f t="shared" si="1"/>
        <v>-3.738570578</v>
      </c>
      <c r="M265" s="18">
        <f t="shared" si="2"/>
        <v>-37.38570578</v>
      </c>
      <c r="N265" s="18" t="str">
        <f t="shared" si="3"/>
        <v>Put Spread</v>
      </c>
      <c r="O265" s="18" t="str">
        <f t="shared" si="4"/>
        <v>No</v>
      </c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</row>
    <row r="266">
      <c r="A266" s="13" t="s">
        <v>289</v>
      </c>
      <c r="B266" s="14" t="s">
        <v>18</v>
      </c>
      <c r="C266" s="15">
        <v>830.63</v>
      </c>
      <c r="D266" s="13" t="s">
        <v>19</v>
      </c>
      <c r="E266" s="15">
        <v>772.23</v>
      </c>
      <c r="F266" s="15">
        <v>4.0</v>
      </c>
      <c r="G266" s="15">
        <v>2.0</v>
      </c>
      <c r="H266" s="15">
        <v>2.0</v>
      </c>
      <c r="I266" s="16">
        <v>0.919457808699262</v>
      </c>
      <c r="J266" s="17">
        <f>IFERROR(__xludf.DUMMYFUNCTION("INDEX(GOOGLEFINANCE(A266, ""open"", $J$1, $J$1), 2, 2)"),801.62)</f>
        <v>801.62</v>
      </c>
      <c r="K266" s="17">
        <f>IFERROR(__xludf.DUMMYFUNCTION("INDEX(GOOGLEFINANCE(A266, ""close"", $K$1, $K$1), 2, 2)"),771.75)</f>
        <v>771.75</v>
      </c>
      <c r="L266" s="8">
        <f t="shared" si="1"/>
        <v>-3.726204436</v>
      </c>
      <c r="M266" s="18">
        <f t="shared" si="2"/>
        <v>-37.26204436</v>
      </c>
      <c r="N266" s="18" t="str">
        <f t="shared" si="3"/>
        <v>Put Spread</v>
      </c>
      <c r="O266" s="18" t="str">
        <f t="shared" si="4"/>
        <v>No</v>
      </c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</row>
    <row r="267">
      <c r="A267" s="13" t="s">
        <v>290</v>
      </c>
      <c r="B267" s="14" t="s">
        <v>18</v>
      </c>
      <c r="C267" s="15">
        <v>8.25</v>
      </c>
      <c r="D267" s="13" t="s">
        <v>19</v>
      </c>
      <c r="E267" s="15">
        <v>7.25</v>
      </c>
      <c r="F267" s="15">
        <v>4.0</v>
      </c>
      <c r="G267" s="15">
        <v>2.0</v>
      </c>
      <c r="H267" s="15">
        <v>1.0</v>
      </c>
      <c r="I267" s="16">
        <v>0.0</v>
      </c>
      <c r="J267" s="17">
        <f>IFERROR(__xludf.DUMMYFUNCTION("INDEX(GOOGLEFINANCE(A267, ""open"", $J$1, $J$1), 2, 2)"),7.81)</f>
        <v>7.81</v>
      </c>
      <c r="K267" s="17">
        <f>IFERROR(__xludf.DUMMYFUNCTION("INDEX(GOOGLEFINANCE(A267, ""close"", $K$1, $K$1), 2, 2)"),7.52)</f>
        <v>7.52</v>
      </c>
      <c r="L267" s="8">
        <f t="shared" si="1"/>
        <v>-3.71318822</v>
      </c>
      <c r="M267" s="18">
        <f t="shared" si="2"/>
        <v>-37.1318822</v>
      </c>
      <c r="N267" s="18" t="str">
        <f t="shared" si="3"/>
        <v>Put Spread</v>
      </c>
      <c r="O267" s="18" t="str">
        <f t="shared" si="4"/>
        <v>Success</v>
      </c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</row>
    <row r="268">
      <c r="A268" s="13" t="s">
        <v>291</v>
      </c>
      <c r="B268" s="14" t="s">
        <v>18</v>
      </c>
      <c r="C268" s="15">
        <v>38.48</v>
      </c>
      <c r="D268" s="13" t="s">
        <v>19</v>
      </c>
      <c r="E268" s="15">
        <v>35.32</v>
      </c>
      <c r="F268" s="15">
        <v>5.0</v>
      </c>
      <c r="G268" s="15">
        <v>3.0</v>
      </c>
      <c r="H268" s="15">
        <v>5.0</v>
      </c>
      <c r="I268" s="16">
        <v>0.0</v>
      </c>
      <c r="J268" s="17">
        <f>IFERROR(__xludf.DUMMYFUNCTION("INDEX(GOOGLEFINANCE(A268, ""open"", $J$1, $J$1), 2, 2)"),36.67)</f>
        <v>36.67</v>
      </c>
      <c r="K268" s="17">
        <f>IFERROR(__xludf.DUMMYFUNCTION("INDEX(GOOGLEFINANCE(A268, ""close"", $K$1, $K$1), 2, 2)"),35.32)</f>
        <v>35.32</v>
      </c>
      <c r="L268" s="8">
        <f t="shared" si="1"/>
        <v>-3.681483501</v>
      </c>
      <c r="M268" s="18">
        <f t="shared" si="2"/>
        <v>-36.81483501</v>
      </c>
      <c r="N268" s="18" t="str">
        <f t="shared" si="3"/>
        <v>Put Spread</v>
      </c>
      <c r="O268" s="18" t="str">
        <f t="shared" si="4"/>
        <v>No</v>
      </c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</row>
    <row r="269">
      <c r="A269" s="13" t="s">
        <v>292</v>
      </c>
      <c r="B269" s="14" t="s">
        <v>18</v>
      </c>
      <c r="C269" s="15">
        <v>279.34</v>
      </c>
      <c r="D269" s="13" t="s">
        <v>19</v>
      </c>
      <c r="E269" s="15">
        <v>264.16</v>
      </c>
      <c r="F269" s="15">
        <v>2.0</v>
      </c>
      <c r="G269" s="15">
        <v>3.0</v>
      </c>
      <c r="H269" s="15">
        <v>4.0</v>
      </c>
      <c r="I269" s="16">
        <v>0.0</v>
      </c>
      <c r="J269" s="17">
        <f>IFERROR(__xludf.DUMMYFUNCTION("INDEX(GOOGLEFINANCE(A269, ""open"", $J$1, $J$1), 2, 2)"),270.97)</f>
        <v>270.97</v>
      </c>
      <c r="K269" s="17">
        <f>IFERROR(__xludf.DUMMYFUNCTION("INDEX(GOOGLEFINANCE(A269, ""close"", $K$1, $K$1), 2, 2)"),261.01)</f>
        <v>261.01</v>
      </c>
      <c r="L269" s="8">
        <f t="shared" si="1"/>
        <v>-3.675683655</v>
      </c>
      <c r="M269" s="18">
        <f t="shared" si="2"/>
        <v>-36.75683655</v>
      </c>
      <c r="N269" s="18" t="str">
        <f t="shared" si="3"/>
        <v>Put Spread</v>
      </c>
      <c r="O269" s="18" t="str">
        <f t="shared" si="4"/>
        <v>No</v>
      </c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</row>
    <row r="270">
      <c r="A270" s="13" t="s">
        <v>293</v>
      </c>
      <c r="B270" s="14" t="s">
        <v>18</v>
      </c>
      <c r="C270" s="15">
        <v>126.54</v>
      </c>
      <c r="D270" s="13" t="s">
        <v>19</v>
      </c>
      <c r="E270" s="15">
        <v>116.4</v>
      </c>
      <c r="F270" s="15">
        <v>2.0</v>
      </c>
      <c r="G270" s="15">
        <v>3.0</v>
      </c>
      <c r="H270" s="15">
        <v>4.0</v>
      </c>
      <c r="I270" s="16">
        <v>0.0</v>
      </c>
      <c r="J270" s="17">
        <f>IFERROR(__xludf.DUMMYFUNCTION("INDEX(GOOGLEFINANCE(A270, ""open"", $J$1, $J$1), 2, 2)"),121.03)</f>
        <v>121.03</v>
      </c>
      <c r="K270" s="17">
        <f>IFERROR(__xludf.DUMMYFUNCTION("INDEX(GOOGLEFINANCE(A270, ""close"", $K$1, $K$1), 2, 2)"),116.59)</f>
        <v>116.59</v>
      </c>
      <c r="L270" s="8">
        <f t="shared" si="1"/>
        <v>-3.668511939</v>
      </c>
      <c r="M270" s="18">
        <f t="shared" si="2"/>
        <v>-36.68511939</v>
      </c>
      <c r="N270" s="18" t="str">
        <f t="shared" si="3"/>
        <v>Put Spread</v>
      </c>
      <c r="O270" s="18" t="str">
        <f t="shared" si="4"/>
        <v>Success</v>
      </c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</row>
    <row r="271">
      <c r="A271" s="13" t="s">
        <v>294</v>
      </c>
      <c r="B271" s="14" t="s">
        <v>18</v>
      </c>
      <c r="C271" s="15">
        <v>172.52</v>
      </c>
      <c r="D271" s="13" t="s">
        <v>19</v>
      </c>
      <c r="E271" s="15">
        <v>161.7</v>
      </c>
      <c r="F271" s="15">
        <v>4.0</v>
      </c>
      <c r="G271" s="15">
        <v>2.0</v>
      </c>
      <c r="H271" s="15">
        <v>4.0</v>
      </c>
      <c r="I271" s="16">
        <v>1.20149419795009</v>
      </c>
      <c r="J271" s="17">
        <f>IFERROR(__xludf.DUMMYFUNCTION("INDEX(GOOGLEFINANCE(A271, ""open"", $J$1, $J$1), 2, 2)"),166.78)</f>
        <v>166.78</v>
      </c>
      <c r="K271" s="17">
        <f>IFERROR(__xludf.DUMMYFUNCTION("INDEX(GOOGLEFINANCE(A271, ""close"", $K$1, $K$1), 2, 2)"),160.68)</f>
        <v>160.68</v>
      </c>
      <c r="L271" s="20">
        <f t="shared" si="1"/>
        <v>-3.657512891</v>
      </c>
      <c r="M271" s="18">
        <f t="shared" si="2"/>
        <v>-36.57512891</v>
      </c>
      <c r="N271" s="18" t="str">
        <f t="shared" si="3"/>
        <v>Put Spread</v>
      </c>
      <c r="O271" s="18" t="str">
        <f t="shared" si="4"/>
        <v>No</v>
      </c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</row>
    <row r="272">
      <c r="A272" s="13" t="s">
        <v>295</v>
      </c>
      <c r="B272" s="14" t="s">
        <v>18</v>
      </c>
      <c r="C272" s="15">
        <v>95.62</v>
      </c>
      <c r="D272" s="13" t="s">
        <v>19</v>
      </c>
      <c r="E272" s="15">
        <v>90.26</v>
      </c>
      <c r="F272" s="15">
        <v>4.0</v>
      </c>
      <c r="G272" s="15">
        <v>2.0</v>
      </c>
      <c r="H272" s="15">
        <v>4.0</v>
      </c>
      <c r="I272" s="16">
        <v>0.943572841068028</v>
      </c>
      <c r="J272" s="17">
        <f>IFERROR(__xludf.DUMMYFUNCTION("INDEX(GOOGLEFINANCE(A272, ""open"", $J$1, $J$1), 2, 2)"),92.72)</f>
        <v>92.72</v>
      </c>
      <c r="K272" s="17">
        <f>IFERROR(__xludf.DUMMYFUNCTION("INDEX(GOOGLEFINANCE(A272, ""close"", $K$1, $K$1), 2, 2)"),89.34)</f>
        <v>89.34</v>
      </c>
      <c r="L272" s="20">
        <f t="shared" si="1"/>
        <v>-3.645383952</v>
      </c>
      <c r="M272" s="18">
        <f t="shared" si="2"/>
        <v>-36.45383952</v>
      </c>
      <c r="N272" s="18" t="str">
        <f t="shared" si="3"/>
        <v>Put Spread</v>
      </c>
      <c r="O272" s="18" t="str">
        <f t="shared" si="4"/>
        <v>No</v>
      </c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</row>
    <row r="273">
      <c r="A273" s="13" t="s">
        <v>296</v>
      </c>
      <c r="B273" s="14" t="s">
        <v>18</v>
      </c>
      <c r="C273" s="15">
        <v>116.6</v>
      </c>
      <c r="D273" s="13" t="s">
        <v>19</v>
      </c>
      <c r="E273" s="15">
        <v>109.26</v>
      </c>
      <c r="F273" s="15">
        <v>5.0</v>
      </c>
      <c r="G273" s="15">
        <v>1.0</v>
      </c>
      <c r="H273" s="15">
        <v>5.0</v>
      </c>
      <c r="I273" s="16">
        <v>0.0</v>
      </c>
      <c r="J273" s="17">
        <f>IFERROR(__xludf.DUMMYFUNCTION("INDEX(GOOGLEFINANCE(A273, ""open"", $J$1, $J$1), 2, 2)"),112.67)</f>
        <v>112.67</v>
      </c>
      <c r="K273" s="17">
        <f>IFERROR(__xludf.DUMMYFUNCTION("INDEX(GOOGLEFINANCE(A273, ""close"", $K$1, $K$1), 2, 2)"),108.59)</f>
        <v>108.59</v>
      </c>
      <c r="L273" s="8">
        <f t="shared" si="1"/>
        <v>-3.621194639</v>
      </c>
      <c r="M273" s="18">
        <f t="shared" si="2"/>
        <v>-36.21194639</v>
      </c>
      <c r="N273" s="18" t="str">
        <f t="shared" si="3"/>
        <v>Put Spread</v>
      </c>
      <c r="O273" s="18" t="str">
        <f t="shared" si="4"/>
        <v>No</v>
      </c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</row>
    <row r="274">
      <c r="A274" s="13" t="s">
        <v>297</v>
      </c>
      <c r="B274" s="14" t="s">
        <v>18</v>
      </c>
      <c r="C274" s="15">
        <v>114.89</v>
      </c>
      <c r="D274" s="13" t="s">
        <v>19</v>
      </c>
      <c r="E274" s="15">
        <v>108.07</v>
      </c>
      <c r="F274" s="15">
        <v>5.0</v>
      </c>
      <c r="G274" s="15">
        <v>1.0</v>
      </c>
      <c r="H274" s="15">
        <v>5.0</v>
      </c>
      <c r="I274" s="16">
        <v>1.30039906639995</v>
      </c>
      <c r="J274" s="17">
        <f>IFERROR(__xludf.DUMMYFUNCTION("INDEX(GOOGLEFINANCE(A274, ""open"", $J$1, $J$1), 2, 2)"),110.88)</f>
        <v>110.88</v>
      </c>
      <c r="K274" s="17">
        <f>IFERROR(__xludf.DUMMYFUNCTION("INDEX(GOOGLEFINANCE(A274, ""close"", $K$1, $K$1), 2, 2)"),106.88)</f>
        <v>106.88</v>
      </c>
      <c r="L274" s="8">
        <f t="shared" si="1"/>
        <v>-3.607503608</v>
      </c>
      <c r="M274" s="18">
        <f t="shared" si="2"/>
        <v>-36.07503608</v>
      </c>
      <c r="N274" s="18" t="str">
        <f t="shared" si="3"/>
        <v>Put Spread</v>
      </c>
      <c r="O274" s="18" t="str">
        <f t="shared" si="4"/>
        <v>No</v>
      </c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</row>
    <row r="275">
      <c r="A275" s="13" t="s">
        <v>298</v>
      </c>
      <c r="B275" s="14" t="s">
        <v>18</v>
      </c>
      <c r="C275" s="15">
        <v>80.35</v>
      </c>
      <c r="D275" s="13" t="s">
        <v>19</v>
      </c>
      <c r="E275" s="15">
        <v>77.39</v>
      </c>
      <c r="F275" s="15">
        <v>5.0</v>
      </c>
      <c r="G275" s="15">
        <v>2.0</v>
      </c>
      <c r="H275" s="15">
        <v>5.0</v>
      </c>
      <c r="I275" s="16">
        <v>0.0</v>
      </c>
      <c r="J275" s="17">
        <f>IFERROR(__xludf.DUMMYFUNCTION("INDEX(GOOGLEFINANCE(A275, ""open"", $J$1, $J$1), 2, 2)"),78.04)</f>
        <v>78.04</v>
      </c>
      <c r="K275" s="17">
        <f>IFERROR(__xludf.DUMMYFUNCTION("INDEX(GOOGLEFINANCE(A275, ""close"", $K$1, $K$1), 2, 2)"),75.26)</f>
        <v>75.26</v>
      </c>
      <c r="L275" s="8">
        <f t="shared" si="1"/>
        <v>-3.562275756</v>
      </c>
      <c r="M275" s="18">
        <f t="shared" si="2"/>
        <v>-35.62275756</v>
      </c>
      <c r="N275" s="18" t="str">
        <f t="shared" si="3"/>
        <v>Put Spread</v>
      </c>
      <c r="O275" s="18" t="str">
        <f t="shared" si="4"/>
        <v>No</v>
      </c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</row>
    <row r="276">
      <c r="A276" s="13" t="s">
        <v>299</v>
      </c>
      <c r="B276" s="14" t="s">
        <v>18</v>
      </c>
      <c r="C276" s="15">
        <v>339.95</v>
      </c>
      <c r="D276" s="13" t="s">
        <v>19</v>
      </c>
      <c r="E276" s="15">
        <v>320.59</v>
      </c>
      <c r="F276" s="15">
        <v>5.0</v>
      </c>
      <c r="G276" s="15">
        <v>1.0</v>
      </c>
      <c r="H276" s="15">
        <v>4.0</v>
      </c>
      <c r="I276" s="16">
        <v>2.058756050972</v>
      </c>
      <c r="J276" s="17">
        <f>IFERROR(__xludf.DUMMYFUNCTION("INDEX(GOOGLEFINANCE(A276, ""open"", $J$1, $J$1), 2, 2)"),329.42)</f>
        <v>329.42</v>
      </c>
      <c r="K276" s="17">
        <f>IFERROR(__xludf.DUMMYFUNCTION("INDEX(GOOGLEFINANCE(A276, ""close"", $K$1, $K$1), 2, 2)"),317.79)</f>
        <v>317.79</v>
      </c>
      <c r="L276" s="8">
        <f t="shared" si="1"/>
        <v>-3.530447453</v>
      </c>
      <c r="M276" s="18">
        <f t="shared" si="2"/>
        <v>-35.30447453</v>
      </c>
      <c r="N276" s="18" t="str">
        <f t="shared" si="3"/>
        <v>Put Spread</v>
      </c>
      <c r="O276" s="18" t="str">
        <f t="shared" si="4"/>
        <v>No</v>
      </c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</row>
    <row r="277">
      <c r="A277" s="13" t="s">
        <v>300</v>
      </c>
      <c r="B277" s="14" t="s">
        <v>18</v>
      </c>
      <c r="C277" s="15">
        <v>41.77</v>
      </c>
      <c r="D277" s="13" t="s">
        <v>19</v>
      </c>
      <c r="E277" s="15">
        <v>39.05</v>
      </c>
      <c r="F277" s="15">
        <v>3.0</v>
      </c>
      <c r="G277" s="15">
        <v>2.0</v>
      </c>
      <c r="H277" s="15">
        <v>1.0</v>
      </c>
      <c r="I277" s="16">
        <v>0.0</v>
      </c>
      <c r="J277" s="17">
        <f>IFERROR(__xludf.DUMMYFUNCTION("INDEX(GOOGLEFINANCE(A277, ""open"", $J$1, $J$1), 2, 2)"),40.08)</f>
        <v>40.08</v>
      </c>
      <c r="K277" s="17">
        <f>IFERROR(__xludf.DUMMYFUNCTION("INDEX(GOOGLEFINANCE(A277, ""close"", $K$1, $K$1), 2, 2)"),38.67)</f>
        <v>38.67</v>
      </c>
      <c r="L277" s="20">
        <f t="shared" si="1"/>
        <v>-3.517964072</v>
      </c>
      <c r="M277" s="18">
        <f t="shared" si="2"/>
        <v>-35.17964072</v>
      </c>
      <c r="N277" s="18" t="str">
        <f t="shared" si="3"/>
        <v>Put Spread</v>
      </c>
      <c r="O277" s="18" t="str">
        <f t="shared" si="4"/>
        <v>No</v>
      </c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</row>
    <row r="278">
      <c r="A278" s="13" t="s">
        <v>301</v>
      </c>
      <c r="B278" s="14" t="s">
        <v>18</v>
      </c>
      <c r="C278" s="15">
        <v>35.98</v>
      </c>
      <c r="D278" s="13" t="s">
        <v>19</v>
      </c>
      <c r="E278" s="15">
        <v>29.56</v>
      </c>
      <c r="F278" s="15">
        <v>3.0</v>
      </c>
      <c r="G278" s="15">
        <v>3.0</v>
      </c>
      <c r="H278" s="15">
        <v>5.0</v>
      </c>
      <c r="I278" s="16">
        <v>0.0</v>
      </c>
      <c r="J278" s="17">
        <f>IFERROR(__xludf.DUMMYFUNCTION("INDEX(GOOGLEFINANCE(A278, ""open"", $J$1, $J$1), 2, 2)"),32.99)</f>
        <v>32.99</v>
      </c>
      <c r="K278" s="17">
        <f>IFERROR(__xludf.DUMMYFUNCTION("INDEX(GOOGLEFINANCE(A278, ""close"", $K$1, $K$1), 2, 2)"),31.83)</f>
        <v>31.83</v>
      </c>
      <c r="L278" s="8">
        <f t="shared" si="1"/>
        <v>-3.516217035</v>
      </c>
      <c r="M278" s="18">
        <f t="shared" si="2"/>
        <v>-35.16217035</v>
      </c>
      <c r="N278" s="18" t="str">
        <f t="shared" si="3"/>
        <v>Put Spread</v>
      </c>
      <c r="O278" s="18" t="str">
        <f t="shared" si="4"/>
        <v>Success</v>
      </c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</row>
    <row r="279">
      <c r="A279" s="13" t="s">
        <v>302</v>
      </c>
      <c r="B279" s="14" t="s">
        <v>18</v>
      </c>
      <c r="C279" s="15">
        <v>140.02</v>
      </c>
      <c r="D279" s="13" t="s">
        <v>19</v>
      </c>
      <c r="E279" s="15">
        <v>122.42</v>
      </c>
      <c r="F279" s="15">
        <v>4.0</v>
      </c>
      <c r="G279" s="15">
        <v>2.0</v>
      </c>
      <c r="H279" s="15">
        <v>4.0</v>
      </c>
      <c r="I279" s="16">
        <v>-1.1612299</v>
      </c>
      <c r="J279" s="17">
        <f>IFERROR(__xludf.DUMMYFUNCTION("INDEX(GOOGLEFINANCE(A279, ""open"", $J$1, $J$1), 2, 2)"),131.95)</f>
        <v>131.95</v>
      </c>
      <c r="K279" s="17">
        <f>IFERROR(__xludf.DUMMYFUNCTION("INDEX(GOOGLEFINANCE(A279, ""close"", $K$1, $K$1), 2, 2)"),127.32)</f>
        <v>127.32</v>
      </c>
      <c r="L279" s="8">
        <f t="shared" si="1"/>
        <v>-3.508904888</v>
      </c>
      <c r="M279" s="18">
        <f t="shared" si="2"/>
        <v>-35.08904888</v>
      </c>
      <c r="N279" s="18" t="str">
        <f t="shared" si="3"/>
        <v>Put Spread</v>
      </c>
      <c r="O279" s="18" t="str">
        <f t="shared" si="4"/>
        <v>Success</v>
      </c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</row>
    <row r="280">
      <c r="A280" s="13" t="s">
        <v>303</v>
      </c>
      <c r="B280" s="14" t="s">
        <v>18</v>
      </c>
      <c r="C280" s="15">
        <v>172.27</v>
      </c>
      <c r="D280" s="13" t="s">
        <v>19</v>
      </c>
      <c r="E280" s="15">
        <v>145.33</v>
      </c>
      <c r="F280" s="15">
        <v>3.0</v>
      </c>
      <c r="G280" s="15">
        <v>3.0</v>
      </c>
      <c r="H280" s="15">
        <v>5.0</v>
      </c>
      <c r="I280" s="16">
        <v>0.0</v>
      </c>
      <c r="J280" s="17">
        <f>IFERROR(__xludf.DUMMYFUNCTION("INDEX(GOOGLEFINANCE(A280, ""open"", $J$1, $J$1), 2, 2)"),159.88)</f>
        <v>159.88</v>
      </c>
      <c r="K280" s="17">
        <f>IFERROR(__xludf.DUMMYFUNCTION("INDEX(GOOGLEFINANCE(A280, ""close"", $K$1, $K$1), 2, 2)"),154.27)</f>
        <v>154.27</v>
      </c>
      <c r="L280" s="8">
        <f t="shared" si="1"/>
        <v>-3.508881661</v>
      </c>
      <c r="M280" s="18">
        <f t="shared" si="2"/>
        <v>-35.08881661</v>
      </c>
      <c r="N280" s="18" t="str">
        <f t="shared" si="3"/>
        <v>Put Spread</v>
      </c>
      <c r="O280" s="18" t="str">
        <f t="shared" si="4"/>
        <v>Success</v>
      </c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</row>
    <row r="281">
      <c r="A281" s="13" t="s">
        <v>304</v>
      </c>
      <c r="B281" s="14" t="s">
        <v>18</v>
      </c>
      <c r="C281" s="15">
        <v>86.01</v>
      </c>
      <c r="D281" s="13" t="s">
        <v>19</v>
      </c>
      <c r="E281" s="15">
        <v>71.99</v>
      </c>
      <c r="F281" s="15">
        <v>5.0</v>
      </c>
      <c r="G281" s="15">
        <v>2.0</v>
      </c>
      <c r="H281" s="15">
        <v>5.0</v>
      </c>
      <c r="I281" s="16">
        <v>0.565460433344269</v>
      </c>
      <c r="J281" s="17">
        <f>IFERROR(__xludf.DUMMYFUNCTION("INDEX(GOOGLEFINANCE(A281, ""open"", $J$1, $J$1), 2, 2)"),77.18)</f>
        <v>77.18</v>
      </c>
      <c r="K281" s="17">
        <f>IFERROR(__xludf.DUMMYFUNCTION("INDEX(GOOGLEFINANCE(A281, ""close"", $K$1, $K$1), 2, 2)"),74.54)</f>
        <v>74.54</v>
      </c>
      <c r="L281" s="8">
        <f t="shared" si="1"/>
        <v>-3.420575279</v>
      </c>
      <c r="M281" s="18">
        <f t="shared" si="2"/>
        <v>-34.20575279</v>
      </c>
      <c r="N281" s="18" t="str">
        <f t="shared" si="3"/>
        <v>Put Spread</v>
      </c>
      <c r="O281" s="18" t="str">
        <f t="shared" si="4"/>
        <v>Success</v>
      </c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</row>
    <row r="282">
      <c r="A282" s="13" t="s">
        <v>305</v>
      </c>
      <c r="B282" s="14" t="s">
        <v>18</v>
      </c>
      <c r="C282" s="15">
        <v>35.07</v>
      </c>
      <c r="D282" s="13" t="s">
        <v>19</v>
      </c>
      <c r="E282" s="15">
        <v>32.29</v>
      </c>
      <c r="F282" s="15">
        <v>3.0</v>
      </c>
      <c r="G282" s="15">
        <v>4.0</v>
      </c>
      <c r="H282" s="15">
        <v>1.0</v>
      </c>
      <c r="I282" s="16">
        <v>0.0</v>
      </c>
      <c r="J282" s="17">
        <f>IFERROR(__xludf.DUMMYFUNCTION("INDEX(GOOGLEFINANCE(A282, ""open"", $J$1, $J$1), 2, 2)"),33.67)</f>
        <v>33.67</v>
      </c>
      <c r="K282" s="17">
        <f>IFERROR(__xludf.DUMMYFUNCTION("INDEX(GOOGLEFINANCE(A282, ""close"", $K$1, $K$1), 2, 2)"),32.52)</f>
        <v>32.52</v>
      </c>
      <c r="L282" s="8">
        <f t="shared" si="1"/>
        <v>-3.415503416</v>
      </c>
      <c r="M282" s="18">
        <f t="shared" si="2"/>
        <v>-34.15503416</v>
      </c>
      <c r="N282" s="18" t="str">
        <f t="shared" si="3"/>
        <v>Put Spread</v>
      </c>
      <c r="O282" s="18" t="str">
        <f t="shared" si="4"/>
        <v>Success</v>
      </c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</row>
    <row r="283">
      <c r="A283" s="13" t="s">
        <v>306</v>
      </c>
      <c r="B283" s="14" t="s">
        <v>18</v>
      </c>
      <c r="C283" s="15">
        <v>922.2</v>
      </c>
      <c r="D283" s="13" t="s">
        <v>19</v>
      </c>
      <c r="E283" s="15">
        <v>857.8</v>
      </c>
      <c r="F283" s="15">
        <v>4.0</v>
      </c>
      <c r="G283" s="15">
        <v>1.0</v>
      </c>
      <c r="H283" s="15">
        <v>5.0</v>
      </c>
      <c r="I283" s="16">
        <v>0.0</v>
      </c>
      <c r="J283" s="17">
        <f>IFERROR(__xludf.DUMMYFUNCTION("INDEX(GOOGLEFINANCE(A283, ""open"", $J$1, $J$1), 2, 2)"),890.0)</f>
        <v>890</v>
      </c>
      <c r="K283" s="17">
        <f>IFERROR(__xludf.DUMMYFUNCTION("INDEX(GOOGLEFINANCE(A283, ""close"", $K$1, $K$1), 2, 2)"),859.62)</f>
        <v>859.62</v>
      </c>
      <c r="L283" s="20">
        <f t="shared" si="1"/>
        <v>-3.413483146</v>
      </c>
      <c r="M283" s="18">
        <f t="shared" si="2"/>
        <v>-34.13483146</v>
      </c>
      <c r="N283" s="18" t="str">
        <f t="shared" si="3"/>
        <v>Put Spread</v>
      </c>
      <c r="O283" s="18" t="str">
        <f t="shared" si="4"/>
        <v>Success</v>
      </c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</row>
    <row r="284">
      <c r="A284" s="13" t="s">
        <v>307</v>
      </c>
      <c r="B284" s="14" t="s">
        <v>18</v>
      </c>
      <c r="C284" s="15">
        <v>30.11</v>
      </c>
      <c r="D284" s="13" t="s">
        <v>19</v>
      </c>
      <c r="E284" s="15">
        <v>28.37</v>
      </c>
      <c r="F284" s="15">
        <v>2.0</v>
      </c>
      <c r="G284" s="15">
        <v>1.0</v>
      </c>
      <c r="H284" s="15">
        <v>0.0</v>
      </c>
      <c r="I284" s="16">
        <v>0.0</v>
      </c>
      <c r="J284" s="17">
        <f>IFERROR(__xludf.DUMMYFUNCTION("INDEX(GOOGLEFINANCE(A284, ""open"", $J$1, $J$1), 2, 2)"),29.11)</f>
        <v>29.11</v>
      </c>
      <c r="K284" s="17">
        <f>IFERROR(__xludf.DUMMYFUNCTION("INDEX(GOOGLEFINANCE(A284, ""close"", $K$1, $K$1), 2, 2)"),28.12)</f>
        <v>28.12</v>
      </c>
      <c r="L284" s="20">
        <f t="shared" si="1"/>
        <v>-3.400893164</v>
      </c>
      <c r="M284" s="18">
        <f t="shared" si="2"/>
        <v>-34.00893164</v>
      </c>
      <c r="N284" s="18" t="str">
        <f t="shared" si="3"/>
        <v>Put Spread</v>
      </c>
      <c r="O284" s="18" t="str">
        <f t="shared" si="4"/>
        <v>No</v>
      </c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</row>
    <row r="285">
      <c r="A285" s="13" t="s">
        <v>308</v>
      </c>
      <c r="B285" s="14" t="s">
        <v>18</v>
      </c>
      <c r="C285" s="15">
        <v>50.48</v>
      </c>
      <c r="D285" s="13" t="s">
        <v>19</v>
      </c>
      <c r="E285" s="15">
        <v>42.8</v>
      </c>
      <c r="F285" s="15">
        <v>2.0</v>
      </c>
      <c r="G285" s="15">
        <v>3.0</v>
      </c>
      <c r="H285" s="15">
        <v>4.0</v>
      </c>
      <c r="I285" s="16">
        <v>0.595727111850393</v>
      </c>
      <c r="J285" s="17">
        <f>IFERROR(__xludf.DUMMYFUNCTION("INDEX(GOOGLEFINANCE(A285, ""open"", $J$1, $J$1), 2, 2)"),46.29)</f>
        <v>46.29</v>
      </c>
      <c r="K285" s="17">
        <f>IFERROR(__xludf.DUMMYFUNCTION("INDEX(GOOGLEFINANCE(A285, ""close"", $K$1, $K$1), 2, 2)"),44.72)</f>
        <v>44.72</v>
      </c>
      <c r="L285" s="8">
        <f t="shared" si="1"/>
        <v>-3.391661266</v>
      </c>
      <c r="M285" s="18">
        <f t="shared" si="2"/>
        <v>-33.91661266</v>
      </c>
      <c r="N285" s="18" t="str">
        <f t="shared" si="3"/>
        <v>Put Spread</v>
      </c>
      <c r="O285" s="18" t="str">
        <f t="shared" si="4"/>
        <v>Success</v>
      </c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</row>
    <row r="286">
      <c r="A286" s="13" t="s">
        <v>309</v>
      </c>
      <c r="B286" s="14" t="s">
        <v>18</v>
      </c>
      <c r="C286" s="15">
        <v>60.54</v>
      </c>
      <c r="D286" s="13" t="s">
        <v>19</v>
      </c>
      <c r="E286" s="15">
        <v>56.98</v>
      </c>
      <c r="F286" s="15">
        <v>5.0</v>
      </c>
      <c r="G286" s="15">
        <v>2.0</v>
      </c>
      <c r="H286" s="15">
        <v>4.0</v>
      </c>
      <c r="I286" s="16">
        <v>-2.3134957</v>
      </c>
      <c r="J286" s="17">
        <f>IFERROR(__xludf.DUMMYFUNCTION("INDEX(GOOGLEFINANCE(A286, ""open"", $J$1, $J$1), 2, 2)"),58.8)</f>
        <v>58.8</v>
      </c>
      <c r="K286" s="17">
        <f>IFERROR(__xludf.DUMMYFUNCTION("INDEX(GOOGLEFINANCE(A286, ""close"", $K$1, $K$1), 2, 2)"),56.81)</f>
        <v>56.81</v>
      </c>
      <c r="L286" s="8">
        <f t="shared" si="1"/>
        <v>-3.384353741</v>
      </c>
      <c r="M286" s="18">
        <f t="shared" si="2"/>
        <v>-33.84353741</v>
      </c>
      <c r="N286" s="18" t="str">
        <f t="shared" si="3"/>
        <v>Put Spread</v>
      </c>
      <c r="O286" s="18" t="str">
        <f t="shared" si="4"/>
        <v>No</v>
      </c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</row>
    <row r="287">
      <c r="A287" s="13" t="s">
        <v>310</v>
      </c>
      <c r="B287" s="14" t="s">
        <v>18</v>
      </c>
      <c r="C287" s="15">
        <v>146.81</v>
      </c>
      <c r="D287" s="13" t="s">
        <v>19</v>
      </c>
      <c r="E287" s="15">
        <v>140.09</v>
      </c>
      <c r="F287" s="15">
        <v>4.0</v>
      </c>
      <c r="G287" s="15">
        <v>1.0</v>
      </c>
      <c r="H287" s="15">
        <v>4.0</v>
      </c>
      <c r="I287" s="16">
        <v>0.0</v>
      </c>
      <c r="J287" s="17">
        <f>IFERROR(__xludf.DUMMYFUNCTION("INDEX(GOOGLEFINANCE(A287, ""open"", $J$1, $J$1), 2, 2)"),143.95)</f>
        <v>143.95</v>
      </c>
      <c r="K287" s="17">
        <f>IFERROR(__xludf.DUMMYFUNCTION("INDEX(GOOGLEFINANCE(A287, ""close"", $K$1, $K$1), 2, 2)"),139.08)</f>
        <v>139.08</v>
      </c>
      <c r="L287" s="8">
        <f t="shared" si="1"/>
        <v>-3.383119139</v>
      </c>
      <c r="M287" s="18">
        <f t="shared" si="2"/>
        <v>-33.83119139</v>
      </c>
      <c r="N287" s="18" t="str">
        <f t="shared" si="3"/>
        <v>Put Spread</v>
      </c>
      <c r="O287" s="18" t="str">
        <f t="shared" si="4"/>
        <v>No</v>
      </c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</row>
    <row r="288">
      <c r="A288" s="13" t="s">
        <v>311</v>
      </c>
      <c r="B288" s="14" t="s">
        <v>18</v>
      </c>
      <c r="C288" s="15">
        <v>39.82</v>
      </c>
      <c r="D288" s="13" t="s">
        <v>19</v>
      </c>
      <c r="E288" s="15">
        <v>37.0</v>
      </c>
      <c r="F288" s="15">
        <v>3.0</v>
      </c>
      <c r="G288" s="15">
        <v>2.0</v>
      </c>
      <c r="H288" s="15">
        <v>5.0</v>
      </c>
      <c r="I288" s="16">
        <v>0.0</v>
      </c>
      <c r="J288" s="17">
        <f>IFERROR(__xludf.DUMMYFUNCTION("INDEX(GOOGLEFINANCE(A288, ""open"", $J$1, $J$1), 2, 2)"),37.95)</f>
        <v>37.95</v>
      </c>
      <c r="K288" s="17">
        <f>IFERROR(__xludf.DUMMYFUNCTION("INDEX(GOOGLEFINANCE(A288, ""close"", $K$1, $K$1), 2, 2)"),36.67)</f>
        <v>36.67</v>
      </c>
      <c r="L288" s="8">
        <f t="shared" si="1"/>
        <v>-3.372859025</v>
      </c>
      <c r="M288" s="18">
        <f t="shared" si="2"/>
        <v>-33.72859025</v>
      </c>
      <c r="N288" s="18" t="str">
        <f t="shared" si="3"/>
        <v>Put Spread</v>
      </c>
      <c r="O288" s="18" t="str">
        <f t="shared" si="4"/>
        <v>No</v>
      </c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</row>
    <row r="289">
      <c r="A289" s="13" t="s">
        <v>312</v>
      </c>
      <c r="B289" s="14" t="s">
        <v>18</v>
      </c>
      <c r="C289" s="15">
        <v>52.96</v>
      </c>
      <c r="D289" s="13" t="s">
        <v>19</v>
      </c>
      <c r="E289" s="15">
        <v>49.18</v>
      </c>
      <c r="F289" s="15">
        <v>5.0</v>
      </c>
      <c r="G289" s="15">
        <v>3.0</v>
      </c>
      <c r="H289" s="15">
        <v>1.0</v>
      </c>
      <c r="I289" s="16">
        <v>0.752967392347661</v>
      </c>
      <c r="J289" s="17">
        <f>IFERROR(__xludf.DUMMYFUNCTION("INDEX(GOOGLEFINANCE(A289, ""open"", $J$1, $J$1), 2, 2)"),50.64)</f>
        <v>50.64</v>
      </c>
      <c r="K289" s="17">
        <f>IFERROR(__xludf.DUMMYFUNCTION("INDEX(GOOGLEFINANCE(A289, ""close"", $K$1, $K$1), 2, 2)"),48.94)</f>
        <v>48.94</v>
      </c>
      <c r="L289" s="8">
        <f t="shared" si="1"/>
        <v>-3.357030016</v>
      </c>
      <c r="M289" s="18">
        <f t="shared" si="2"/>
        <v>-33.57030016</v>
      </c>
      <c r="N289" s="18" t="str">
        <f t="shared" si="3"/>
        <v>Put Spread</v>
      </c>
      <c r="O289" s="18" t="str">
        <f t="shared" si="4"/>
        <v>No</v>
      </c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</row>
    <row r="290">
      <c r="A290" s="13" t="s">
        <v>313</v>
      </c>
      <c r="B290" s="14" t="s">
        <v>18</v>
      </c>
      <c r="C290" s="15">
        <v>303.8</v>
      </c>
      <c r="D290" s="13" t="s">
        <v>19</v>
      </c>
      <c r="E290" s="15">
        <v>277.02</v>
      </c>
      <c r="F290" s="15">
        <v>4.0</v>
      </c>
      <c r="G290" s="15">
        <v>2.0</v>
      </c>
      <c r="H290" s="15">
        <v>5.0</v>
      </c>
      <c r="I290" s="16">
        <v>0.0</v>
      </c>
      <c r="J290" s="17">
        <f>IFERROR(__xludf.DUMMYFUNCTION("INDEX(GOOGLEFINANCE(A290, ""open"", $J$1, $J$1), 2, 2)"),291.09)</f>
        <v>291.09</v>
      </c>
      <c r="K290" s="17">
        <f>IFERROR(__xludf.DUMMYFUNCTION("INDEX(GOOGLEFINANCE(A290, ""close"", $K$1, $K$1), 2, 2)"),281.35)</f>
        <v>281.35</v>
      </c>
      <c r="L290" s="8">
        <f t="shared" si="1"/>
        <v>-3.346044179</v>
      </c>
      <c r="M290" s="18">
        <f t="shared" si="2"/>
        <v>-33.46044179</v>
      </c>
      <c r="N290" s="18" t="str">
        <f t="shared" si="3"/>
        <v>Put Spread</v>
      </c>
      <c r="O290" s="18" t="str">
        <f t="shared" si="4"/>
        <v>Success</v>
      </c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</row>
    <row r="291">
      <c r="A291" s="13" t="s">
        <v>314</v>
      </c>
      <c r="B291" s="14" t="s">
        <v>18</v>
      </c>
      <c r="C291" s="15">
        <v>5.39</v>
      </c>
      <c r="D291" s="13" t="s">
        <v>19</v>
      </c>
      <c r="E291" s="15">
        <v>3.01</v>
      </c>
      <c r="F291" s="15">
        <v>4.0</v>
      </c>
      <c r="G291" s="15">
        <v>3.0</v>
      </c>
      <c r="H291" s="15">
        <v>3.0</v>
      </c>
      <c r="I291" s="16">
        <v>0.0</v>
      </c>
      <c r="J291" s="17">
        <f>IFERROR(__xludf.DUMMYFUNCTION("INDEX(GOOGLEFINANCE(A291, ""open"", $J$1, $J$1), 2, 2)"),4.2)</f>
        <v>4.2</v>
      </c>
      <c r="K291" s="17">
        <f>IFERROR(__xludf.DUMMYFUNCTION("INDEX(GOOGLEFINANCE(A291, ""close"", $K$1, $K$1), 2, 2)"),4.06)</f>
        <v>4.06</v>
      </c>
      <c r="L291" s="8">
        <f t="shared" si="1"/>
        <v>-3.333333333</v>
      </c>
      <c r="M291" s="18">
        <f t="shared" si="2"/>
        <v>-33.33333333</v>
      </c>
      <c r="N291" s="18" t="str">
        <f t="shared" si="3"/>
        <v>Put Spread</v>
      </c>
      <c r="O291" s="18" t="str">
        <f t="shared" si="4"/>
        <v>Success</v>
      </c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</row>
    <row r="292">
      <c r="A292" s="13" t="s">
        <v>315</v>
      </c>
      <c r="B292" s="14" t="s">
        <v>18</v>
      </c>
      <c r="C292" s="15">
        <v>32.4</v>
      </c>
      <c r="D292" s="13" t="s">
        <v>19</v>
      </c>
      <c r="E292" s="15">
        <v>30.7</v>
      </c>
      <c r="F292" s="15">
        <v>3.0</v>
      </c>
      <c r="G292" s="15">
        <v>2.0</v>
      </c>
      <c r="H292" s="15">
        <v>4.0</v>
      </c>
      <c r="I292" s="16">
        <v>-2.2692132</v>
      </c>
      <c r="J292" s="17">
        <f>IFERROR(__xludf.DUMMYFUNCTION("INDEX(GOOGLEFINANCE(A292, ""open"", $J$1, $J$1), 2, 2)"),31.8)</f>
        <v>31.8</v>
      </c>
      <c r="K292" s="17">
        <f>IFERROR(__xludf.DUMMYFUNCTION("INDEX(GOOGLEFINANCE(A292, ""close"", $K$1, $K$1), 2, 2)"),30.74)</f>
        <v>30.74</v>
      </c>
      <c r="L292" s="20">
        <f t="shared" si="1"/>
        <v>-3.333333333</v>
      </c>
      <c r="M292" s="18">
        <f t="shared" si="2"/>
        <v>-33.33333333</v>
      </c>
      <c r="N292" s="18" t="str">
        <f t="shared" si="3"/>
        <v>Put Spread</v>
      </c>
      <c r="O292" s="18" t="str">
        <f t="shared" si="4"/>
        <v>Success</v>
      </c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</row>
    <row r="293">
      <c r="A293" s="13" t="s">
        <v>316</v>
      </c>
      <c r="B293" s="14" t="s">
        <v>18</v>
      </c>
      <c r="C293" s="15">
        <v>37.13</v>
      </c>
      <c r="D293" s="13" t="s">
        <v>19</v>
      </c>
      <c r="E293" s="15">
        <v>34.13</v>
      </c>
      <c r="F293" s="15">
        <v>2.0</v>
      </c>
      <c r="G293" s="15">
        <v>3.0</v>
      </c>
      <c r="H293" s="15">
        <v>4.0</v>
      </c>
      <c r="I293" s="16">
        <v>0.0</v>
      </c>
      <c r="J293" s="17">
        <f>IFERROR(__xludf.DUMMYFUNCTION("INDEX(GOOGLEFINANCE(A293, ""open"", $J$1, $J$1), 2, 2)"),35.66)</f>
        <v>35.66</v>
      </c>
      <c r="K293" s="17">
        <f>IFERROR(__xludf.DUMMYFUNCTION("INDEX(GOOGLEFINANCE(A293, ""close"", $K$1, $K$1), 2, 2)"),34.48)</f>
        <v>34.48</v>
      </c>
      <c r="L293" s="8">
        <f t="shared" si="1"/>
        <v>-3.309029725</v>
      </c>
      <c r="M293" s="18">
        <f t="shared" si="2"/>
        <v>-33.09029725</v>
      </c>
      <c r="N293" s="18" t="str">
        <f t="shared" si="3"/>
        <v>Put Spread</v>
      </c>
      <c r="O293" s="18" t="str">
        <f t="shared" si="4"/>
        <v>Success</v>
      </c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</row>
    <row r="294">
      <c r="A294" s="13" t="s">
        <v>317</v>
      </c>
      <c r="B294" s="14" t="s">
        <v>18</v>
      </c>
      <c r="C294" s="15">
        <v>92.28</v>
      </c>
      <c r="D294" s="13" t="s">
        <v>19</v>
      </c>
      <c r="E294" s="15">
        <v>88.28</v>
      </c>
      <c r="F294" s="15">
        <v>5.0</v>
      </c>
      <c r="G294" s="15">
        <v>2.0</v>
      </c>
      <c r="H294" s="15">
        <v>5.0</v>
      </c>
      <c r="I294" s="16">
        <v>0.0</v>
      </c>
      <c r="J294" s="17">
        <f>IFERROR(__xludf.DUMMYFUNCTION("INDEX(GOOGLEFINANCE(A294, ""open"", $J$1, $J$1), 2, 2)"),90.49)</f>
        <v>90.49</v>
      </c>
      <c r="K294" s="17">
        <f>IFERROR(__xludf.DUMMYFUNCTION("INDEX(GOOGLEFINANCE(A294, ""close"", $K$1, $K$1), 2, 2)"),87.5)</f>
        <v>87.5</v>
      </c>
      <c r="L294" s="8">
        <f t="shared" si="1"/>
        <v>-3.304232512</v>
      </c>
      <c r="M294" s="18">
        <f t="shared" si="2"/>
        <v>-33.04232512</v>
      </c>
      <c r="N294" s="18" t="str">
        <f t="shared" si="3"/>
        <v>Put Spread</v>
      </c>
      <c r="O294" s="18" t="str">
        <f t="shared" si="4"/>
        <v>No</v>
      </c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</row>
    <row r="295">
      <c r="A295" s="13" t="s">
        <v>318</v>
      </c>
      <c r="B295" s="14" t="s">
        <v>18</v>
      </c>
      <c r="C295" s="15">
        <v>75.93</v>
      </c>
      <c r="D295" s="13" t="s">
        <v>19</v>
      </c>
      <c r="E295" s="15">
        <v>70.49</v>
      </c>
      <c r="F295" s="15">
        <v>5.0</v>
      </c>
      <c r="G295" s="15">
        <v>1.0</v>
      </c>
      <c r="H295" s="15">
        <v>4.0</v>
      </c>
      <c r="I295" s="16">
        <v>0.204340957810283</v>
      </c>
      <c r="J295" s="17">
        <f>IFERROR(__xludf.DUMMYFUNCTION("INDEX(GOOGLEFINANCE(A295, ""open"", $J$1, $J$1), 2, 2)"),73.06)</f>
        <v>73.06</v>
      </c>
      <c r="K295" s="17">
        <f>IFERROR(__xludf.DUMMYFUNCTION("INDEX(GOOGLEFINANCE(A295, ""close"", $K$1, $K$1), 2, 2)"),70.65)</f>
        <v>70.65</v>
      </c>
      <c r="L295" s="8">
        <f t="shared" si="1"/>
        <v>-3.298658637</v>
      </c>
      <c r="M295" s="18">
        <f t="shared" si="2"/>
        <v>-32.98658637</v>
      </c>
      <c r="N295" s="18" t="str">
        <f t="shared" si="3"/>
        <v>Put Spread</v>
      </c>
      <c r="O295" s="18" t="str">
        <f t="shared" si="4"/>
        <v>Success</v>
      </c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</row>
    <row r="296">
      <c r="A296" s="13" t="s">
        <v>319</v>
      </c>
      <c r="B296" s="14" t="s">
        <v>18</v>
      </c>
      <c r="C296" s="15">
        <v>59.32</v>
      </c>
      <c r="D296" s="13" t="s">
        <v>19</v>
      </c>
      <c r="E296" s="15">
        <v>56.04</v>
      </c>
      <c r="F296" s="15">
        <v>4.0</v>
      </c>
      <c r="G296" s="15">
        <v>2.0</v>
      </c>
      <c r="H296" s="15">
        <v>3.0</v>
      </c>
      <c r="I296" s="16">
        <v>0.0</v>
      </c>
      <c r="J296" s="17">
        <f>IFERROR(__xludf.DUMMYFUNCTION("INDEX(GOOGLEFINANCE(A296, ""open"", $J$1, $J$1), 2, 2)"),57.61)</f>
        <v>57.61</v>
      </c>
      <c r="K296" s="17">
        <f>IFERROR(__xludf.DUMMYFUNCTION("INDEX(GOOGLEFINANCE(A296, ""close"", $K$1, $K$1), 2, 2)"),55.71)</f>
        <v>55.71</v>
      </c>
      <c r="L296" s="8">
        <f t="shared" si="1"/>
        <v>-3.298038535</v>
      </c>
      <c r="M296" s="18">
        <f t="shared" si="2"/>
        <v>-32.98038535</v>
      </c>
      <c r="N296" s="18" t="str">
        <f t="shared" si="3"/>
        <v>Put Spread</v>
      </c>
      <c r="O296" s="18" t="str">
        <f t="shared" si="4"/>
        <v>No</v>
      </c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</row>
    <row r="297">
      <c r="A297" s="13" t="s">
        <v>320</v>
      </c>
      <c r="B297" s="14" t="s">
        <v>18</v>
      </c>
      <c r="C297" s="15">
        <v>229.11</v>
      </c>
      <c r="D297" s="13" t="s">
        <v>19</v>
      </c>
      <c r="E297" s="15">
        <v>219.37</v>
      </c>
      <c r="F297" s="15">
        <v>3.0</v>
      </c>
      <c r="G297" s="15">
        <v>1.0</v>
      </c>
      <c r="H297" s="15">
        <v>2.0</v>
      </c>
      <c r="I297" s="16">
        <v>-1.17864</v>
      </c>
      <c r="J297" s="17">
        <f>IFERROR(__xludf.DUMMYFUNCTION("INDEX(GOOGLEFINANCE(A297, ""open"", $J$1, $J$1), 2, 2)"),225.13)</f>
        <v>225.13</v>
      </c>
      <c r="K297" s="17">
        <f>IFERROR(__xludf.DUMMYFUNCTION("INDEX(GOOGLEFINANCE(A297, ""close"", $K$1, $K$1), 2, 2)"),217.71)</f>
        <v>217.71</v>
      </c>
      <c r="L297" s="8">
        <f t="shared" si="1"/>
        <v>-3.295873495</v>
      </c>
      <c r="M297" s="18">
        <f t="shared" si="2"/>
        <v>-32.95873495</v>
      </c>
      <c r="N297" s="18" t="str">
        <f t="shared" si="3"/>
        <v>Put Spread</v>
      </c>
      <c r="O297" s="18" t="str">
        <f t="shared" si="4"/>
        <v>No</v>
      </c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</row>
    <row r="298">
      <c r="A298" s="13" t="s">
        <v>321</v>
      </c>
      <c r="B298" s="14" t="s">
        <v>18</v>
      </c>
      <c r="C298" s="15">
        <v>46.24</v>
      </c>
      <c r="D298" s="13" t="s">
        <v>19</v>
      </c>
      <c r="E298" s="15">
        <v>43.24</v>
      </c>
      <c r="F298" s="15">
        <v>4.0</v>
      </c>
      <c r="G298" s="15">
        <v>2.0</v>
      </c>
      <c r="H298" s="15">
        <v>4.0</v>
      </c>
      <c r="I298" s="16">
        <v>-0.9774986</v>
      </c>
      <c r="J298" s="17">
        <f>IFERROR(__xludf.DUMMYFUNCTION("INDEX(GOOGLEFINANCE(A298, ""open"", $J$1, $J$1), 2, 2)"),44.94)</f>
        <v>44.94</v>
      </c>
      <c r="K298" s="17">
        <f>IFERROR(__xludf.DUMMYFUNCTION("INDEX(GOOGLEFINANCE(A298, ""close"", $K$1, $K$1), 2, 2)"),43.47)</f>
        <v>43.47</v>
      </c>
      <c r="L298" s="8">
        <f t="shared" si="1"/>
        <v>-3.271028037</v>
      </c>
      <c r="M298" s="18">
        <f t="shared" si="2"/>
        <v>-32.71028037</v>
      </c>
      <c r="N298" s="18" t="str">
        <f t="shared" si="3"/>
        <v>Put Spread</v>
      </c>
      <c r="O298" s="18" t="str">
        <f t="shared" si="4"/>
        <v>Success</v>
      </c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</row>
    <row r="299">
      <c r="A299" s="13" t="s">
        <v>322</v>
      </c>
      <c r="B299" s="14" t="s">
        <v>18</v>
      </c>
      <c r="C299" s="15">
        <v>257.33</v>
      </c>
      <c r="D299" s="13" t="s">
        <v>19</v>
      </c>
      <c r="E299" s="15">
        <v>242.87</v>
      </c>
      <c r="F299" s="15">
        <v>3.0</v>
      </c>
      <c r="G299" s="15">
        <v>0.0</v>
      </c>
      <c r="H299" s="15">
        <v>2.0</v>
      </c>
      <c r="I299" s="16">
        <v>-1.0763336</v>
      </c>
      <c r="J299" s="17">
        <f>IFERROR(__xludf.DUMMYFUNCTION("INDEX(GOOGLEFINANCE(A299, ""open"", $J$1, $J$1), 2, 2)"),249.24)</f>
        <v>249.24</v>
      </c>
      <c r="K299" s="17">
        <f>IFERROR(__xludf.DUMMYFUNCTION("INDEX(GOOGLEFINANCE(A299, ""close"", $K$1, $K$1), 2, 2)"),241.09)</f>
        <v>241.09</v>
      </c>
      <c r="L299" s="8">
        <f t="shared" si="1"/>
        <v>-3.269940619</v>
      </c>
      <c r="M299" s="18">
        <f t="shared" si="2"/>
        <v>-32.69940619</v>
      </c>
      <c r="N299" s="18" t="str">
        <f t="shared" si="3"/>
        <v>Put Spread</v>
      </c>
      <c r="O299" s="18" t="str">
        <f t="shared" si="4"/>
        <v>No</v>
      </c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</row>
    <row r="300">
      <c r="A300" s="13" t="s">
        <v>323</v>
      </c>
      <c r="B300" s="14" t="s">
        <v>18</v>
      </c>
      <c r="C300" s="15">
        <v>190.76</v>
      </c>
      <c r="D300" s="13" t="s">
        <v>19</v>
      </c>
      <c r="E300" s="15">
        <v>184.7</v>
      </c>
      <c r="F300" s="15">
        <v>5.0</v>
      </c>
      <c r="G300" s="15">
        <v>2.0</v>
      </c>
      <c r="H300" s="15">
        <v>5.0</v>
      </c>
      <c r="I300" s="16">
        <v>0.0</v>
      </c>
      <c r="J300" s="17">
        <f>IFERROR(__xludf.DUMMYFUNCTION("INDEX(GOOGLEFINANCE(A300, ""open"", $J$1, $J$1), 2, 2)"),187.69)</f>
        <v>187.69</v>
      </c>
      <c r="K300" s="17">
        <f>IFERROR(__xludf.DUMMYFUNCTION("INDEX(GOOGLEFINANCE(A300, ""close"", $K$1, $K$1), 2, 2)"),183.63)</f>
        <v>183.63</v>
      </c>
      <c r="L300" s="8">
        <f t="shared" si="1"/>
        <v>-2.16314135</v>
      </c>
      <c r="M300" s="18">
        <f t="shared" si="2"/>
        <v>-21.6314135</v>
      </c>
      <c r="N300" s="18" t="str">
        <f t="shared" si="3"/>
        <v>Put Spread</v>
      </c>
      <c r="O300" s="18" t="str">
        <f t="shared" si="4"/>
        <v>No</v>
      </c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</row>
    <row r="301">
      <c r="A301" s="13" t="s">
        <v>324</v>
      </c>
      <c r="B301" s="14" t="s">
        <v>18</v>
      </c>
      <c r="C301" s="15">
        <v>318.62</v>
      </c>
      <c r="D301" s="13" t="s">
        <v>19</v>
      </c>
      <c r="E301" s="15">
        <v>287.28</v>
      </c>
      <c r="F301" s="15">
        <v>4.0</v>
      </c>
      <c r="G301" s="15">
        <v>3.0</v>
      </c>
      <c r="H301" s="15">
        <v>0.0</v>
      </c>
      <c r="I301" s="16">
        <v>0.0</v>
      </c>
      <c r="J301" s="17">
        <f>IFERROR(__xludf.DUMMYFUNCTION("INDEX(GOOGLEFINANCE(A301, ""open"", $J$1, $J$1), 2, 2)"),300.11)</f>
        <v>300.11</v>
      </c>
      <c r="K301" s="17">
        <f>IFERROR(__xludf.DUMMYFUNCTION("INDEX(GOOGLEFINANCE(A301, ""close"", $K$1, $K$1), 2, 2)"),290.31)</f>
        <v>290.31</v>
      </c>
      <c r="L301" s="8">
        <f t="shared" si="1"/>
        <v>-3.265469328</v>
      </c>
      <c r="M301" s="18">
        <f t="shared" si="2"/>
        <v>-32.65469328</v>
      </c>
      <c r="N301" s="18" t="str">
        <f t="shared" si="3"/>
        <v>Put Spread</v>
      </c>
      <c r="O301" s="18" t="str">
        <f t="shared" si="4"/>
        <v>Success</v>
      </c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</row>
    <row r="302">
      <c r="A302" s="13" t="s">
        <v>325</v>
      </c>
      <c r="B302" s="14" t="s">
        <v>18</v>
      </c>
      <c r="C302" s="15">
        <v>34.95</v>
      </c>
      <c r="D302" s="13" t="s">
        <v>19</v>
      </c>
      <c r="E302" s="15">
        <v>32.85</v>
      </c>
      <c r="F302" s="15">
        <v>2.0</v>
      </c>
      <c r="G302" s="15">
        <v>2.0</v>
      </c>
      <c r="H302" s="15">
        <v>5.0</v>
      </c>
      <c r="I302" s="16">
        <v>0.0</v>
      </c>
      <c r="J302" s="17">
        <f>IFERROR(__xludf.DUMMYFUNCTION("INDEX(GOOGLEFINANCE(A302, ""open"", $J$1, $J$1), 2, 2)"),34.2)</f>
        <v>34.2</v>
      </c>
      <c r="K302" s="17">
        <f>IFERROR(__xludf.DUMMYFUNCTION("INDEX(GOOGLEFINANCE(A302, ""close"", $K$1, $K$1), 2, 2)"),33.09)</f>
        <v>33.09</v>
      </c>
      <c r="L302" s="8">
        <f t="shared" si="1"/>
        <v>-3.245614035</v>
      </c>
      <c r="M302" s="18">
        <f t="shared" si="2"/>
        <v>-32.45614035</v>
      </c>
      <c r="N302" s="18" t="str">
        <f t="shared" si="3"/>
        <v>Put Spread</v>
      </c>
      <c r="O302" s="18" t="str">
        <f t="shared" si="4"/>
        <v>Success</v>
      </c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</row>
    <row r="303">
      <c r="A303" s="13" t="s">
        <v>326</v>
      </c>
      <c r="B303" s="14" t="s">
        <v>18</v>
      </c>
      <c r="C303" s="15">
        <v>20.47</v>
      </c>
      <c r="D303" s="13" t="s">
        <v>19</v>
      </c>
      <c r="E303" s="15">
        <v>17.87</v>
      </c>
      <c r="F303" s="15">
        <v>5.0</v>
      </c>
      <c r="G303" s="15">
        <v>1.0</v>
      </c>
      <c r="H303" s="15">
        <v>4.0</v>
      </c>
      <c r="I303" s="16">
        <v>-3.2147415</v>
      </c>
      <c r="J303" s="17">
        <f>IFERROR(__xludf.DUMMYFUNCTION("INDEX(GOOGLEFINANCE(A303, ""open"", $J$1, $J$1), 2, 2)"),19.18)</f>
        <v>19.18</v>
      </c>
      <c r="K303" s="17">
        <f>IFERROR(__xludf.DUMMYFUNCTION("INDEX(GOOGLEFINANCE(A303, ""close"", $K$1, $K$1), 2, 2)"),18.56)</f>
        <v>18.56</v>
      </c>
      <c r="L303" s="8">
        <f t="shared" si="1"/>
        <v>-3.232533889</v>
      </c>
      <c r="M303" s="18">
        <f t="shared" si="2"/>
        <v>-32.32533889</v>
      </c>
      <c r="N303" s="18" t="str">
        <f t="shared" si="3"/>
        <v>Put Spread</v>
      </c>
      <c r="O303" s="18" t="str">
        <f t="shared" si="4"/>
        <v>Success</v>
      </c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</row>
    <row r="304">
      <c r="A304" s="13" t="s">
        <v>327</v>
      </c>
      <c r="B304" s="14" t="s">
        <v>18</v>
      </c>
      <c r="C304" s="15">
        <v>397.83</v>
      </c>
      <c r="D304" s="13" t="s">
        <v>19</v>
      </c>
      <c r="E304" s="15">
        <v>362.25</v>
      </c>
      <c r="F304" s="15">
        <v>2.0</v>
      </c>
      <c r="G304" s="15">
        <v>3.0</v>
      </c>
      <c r="H304" s="15">
        <v>5.0</v>
      </c>
      <c r="I304" s="16">
        <v>0.0</v>
      </c>
      <c r="J304" s="17">
        <f>IFERROR(__xludf.DUMMYFUNCTION("INDEX(GOOGLEFINANCE(A304, ""open"", $J$1, $J$1), 2, 2)"),382.19)</f>
        <v>382.19</v>
      </c>
      <c r="K304" s="17">
        <f>IFERROR(__xludf.DUMMYFUNCTION("INDEX(GOOGLEFINANCE(A304, ""close"", $K$1, $K$1), 2, 2)"),369.91)</f>
        <v>369.91</v>
      </c>
      <c r="L304" s="20">
        <f t="shared" si="1"/>
        <v>-3.213061566</v>
      </c>
      <c r="M304" s="18">
        <f t="shared" si="2"/>
        <v>-32.13061566</v>
      </c>
      <c r="N304" s="18" t="str">
        <f t="shared" si="3"/>
        <v>Put Spread</v>
      </c>
      <c r="O304" s="18" t="str">
        <f t="shared" si="4"/>
        <v>Success</v>
      </c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</row>
    <row r="305">
      <c r="A305" s="13" t="s">
        <v>328</v>
      </c>
      <c r="B305" s="14" t="s">
        <v>18</v>
      </c>
      <c r="C305" s="15">
        <v>107.58</v>
      </c>
      <c r="D305" s="13" t="s">
        <v>19</v>
      </c>
      <c r="E305" s="15">
        <v>97.8</v>
      </c>
      <c r="F305" s="15">
        <v>2.0</v>
      </c>
      <c r="G305" s="15">
        <v>4.0</v>
      </c>
      <c r="H305" s="15">
        <v>4.0</v>
      </c>
      <c r="I305" s="16">
        <v>1.44471076256306</v>
      </c>
      <c r="J305" s="17">
        <f>IFERROR(__xludf.DUMMYFUNCTION("INDEX(GOOGLEFINANCE(A305, ""open"", $J$1, $J$1), 2, 2)"),102.22)</f>
        <v>102.22</v>
      </c>
      <c r="K305" s="17">
        <f>IFERROR(__xludf.DUMMYFUNCTION("INDEX(GOOGLEFINANCE(A305, ""close"", $K$1, $K$1), 2, 2)"),98.94)</f>
        <v>98.94</v>
      </c>
      <c r="L305" s="8">
        <f t="shared" si="1"/>
        <v>-3.208765408</v>
      </c>
      <c r="M305" s="18">
        <f t="shared" si="2"/>
        <v>-32.08765408</v>
      </c>
      <c r="N305" s="18" t="str">
        <f t="shared" si="3"/>
        <v>Put Spread</v>
      </c>
      <c r="O305" s="18" t="str">
        <f t="shared" si="4"/>
        <v>Success</v>
      </c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</row>
    <row r="306">
      <c r="A306" s="13" t="s">
        <v>329</v>
      </c>
      <c r="B306" s="14" t="s">
        <v>18</v>
      </c>
      <c r="C306" s="15">
        <v>595.77</v>
      </c>
      <c r="D306" s="13" t="s">
        <v>19</v>
      </c>
      <c r="E306" s="15">
        <v>530.43</v>
      </c>
      <c r="F306" s="15">
        <v>5.0</v>
      </c>
      <c r="G306" s="15">
        <v>4.0</v>
      </c>
      <c r="H306" s="15">
        <v>3.0</v>
      </c>
      <c r="I306" s="16">
        <v>0.0</v>
      </c>
      <c r="J306" s="17">
        <f>IFERROR(__xludf.DUMMYFUNCTION("INDEX(GOOGLEFINANCE(A306, ""open"", $J$1, $J$1), 2, 2)"),563.53)</f>
        <v>563.53</v>
      </c>
      <c r="K306" s="17">
        <f>IFERROR(__xludf.DUMMYFUNCTION("INDEX(GOOGLEFINANCE(A306, ""close"", $K$1, $K$1), 2, 2)"),558.87)</f>
        <v>558.87</v>
      </c>
      <c r="L306" s="8">
        <f t="shared" si="1"/>
        <v>-0.8269302433</v>
      </c>
      <c r="M306" s="18">
        <f t="shared" si="2"/>
        <v>-8.269302433</v>
      </c>
      <c r="N306" s="18" t="str">
        <f t="shared" si="3"/>
        <v>Put Spread</v>
      </c>
      <c r="O306" s="18" t="str">
        <f t="shared" si="4"/>
        <v>Success</v>
      </c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</row>
    <row r="307">
      <c r="A307" s="13" t="s">
        <v>330</v>
      </c>
      <c r="B307" s="14" t="s">
        <v>18</v>
      </c>
      <c r="C307" s="15">
        <v>255.99</v>
      </c>
      <c r="D307" s="13" t="s">
        <v>19</v>
      </c>
      <c r="E307" s="15">
        <v>235.21</v>
      </c>
      <c r="F307" s="15">
        <v>5.0</v>
      </c>
      <c r="G307" s="15">
        <v>1.0</v>
      </c>
      <c r="H307" s="15">
        <v>4.0</v>
      </c>
      <c r="I307" s="16">
        <v>0.0</v>
      </c>
      <c r="J307" s="17">
        <f>IFERROR(__xludf.DUMMYFUNCTION("INDEX(GOOGLEFINANCE(A307, ""open"", $J$1, $J$1), 2, 2)"),243.0)</f>
        <v>243</v>
      </c>
      <c r="K307" s="17">
        <f>IFERROR(__xludf.DUMMYFUNCTION("INDEX(GOOGLEFINANCE(A307, ""close"", $K$1, $K$1), 2, 2)"),235.21)</f>
        <v>235.21</v>
      </c>
      <c r="L307" s="20">
        <f t="shared" si="1"/>
        <v>-3.205761317</v>
      </c>
      <c r="M307" s="18">
        <f t="shared" si="2"/>
        <v>-32.05761317</v>
      </c>
      <c r="N307" s="18" t="str">
        <f t="shared" si="3"/>
        <v>Put Spread</v>
      </c>
      <c r="O307" s="18" t="str">
        <f t="shared" si="4"/>
        <v>No</v>
      </c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</row>
    <row r="308">
      <c r="A308" s="13" t="s">
        <v>331</v>
      </c>
      <c r="B308" s="14" t="s">
        <v>18</v>
      </c>
      <c r="C308" s="15">
        <v>123.07</v>
      </c>
      <c r="D308" s="13" t="s">
        <v>19</v>
      </c>
      <c r="E308" s="15">
        <v>110.81</v>
      </c>
      <c r="F308" s="15">
        <v>5.0</v>
      </c>
      <c r="G308" s="15">
        <v>1.0</v>
      </c>
      <c r="H308" s="15">
        <v>3.0</v>
      </c>
      <c r="I308" s="16">
        <v>0.0</v>
      </c>
      <c r="J308" s="17">
        <f>IFERROR(__xludf.DUMMYFUNCTION("INDEX(GOOGLEFINANCE(A308, ""open"", $J$1, $J$1), 2, 2)"),117.54)</f>
        <v>117.54</v>
      </c>
      <c r="K308" s="17">
        <f>IFERROR(__xludf.DUMMYFUNCTION("INDEX(GOOGLEFINANCE(A308, ""close"", $K$1, $K$1), 2, 2)"),113.79)</f>
        <v>113.79</v>
      </c>
      <c r="L308" s="8">
        <f t="shared" si="1"/>
        <v>-3.190403267</v>
      </c>
      <c r="M308" s="18">
        <f t="shared" si="2"/>
        <v>-31.90403267</v>
      </c>
      <c r="N308" s="18" t="str">
        <f t="shared" si="3"/>
        <v>Put Spread</v>
      </c>
      <c r="O308" s="18" t="str">
        <f t="shared" si="4"/>
        <v>Success</v>
      </c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</row>
    <row r="309">
      <c r="A309" s="13" t="s">
        <v>332</v>
      </c>
      <c r="B309" s="14" t="s">
        <v>18</v>
      </c>
      <c r="C309" s="15">
        <v>4.87</v>
      </c>
      <c r="D309" s="13" t="s">
        <v>19</v>
      </c>
      <c r="E309" s="15">
        <v>3.89</v>
      </c>
      <c r="F309" s="15">
        <v>2.0</v>
      </c>
      <c r="G309" s="15">
        <v>2.0</v>
      </c>
      <c r="H309" s="15">
        <v>2.0</v>
      </c>
      <c r="I309" s="16">
        <v>-1.7251249</v>
      </c>
      <c r="J309" s="17">
        <f>IFERROR(__xludf.DUMMYFUNCTION("INDEX(GOOGLEFINANCE(A309, ""open"", $J$1, $J$1), 2, 2)"),4.41)</f>
        <v>4.41</v>
      </c>
      <c r="K309" s="17">
        <f>IFERROR(__xludf.DUMMYFUNCTION("INDEX(GOOGLEFINANCE(A309, ""close"", $K$1, $K$1), 2, 2)"),4.27)</f>
        <v>4.27</v>
      </c>
      <c r="L309" s="20">
        <f t="shared" si="1"/>
        <v>-3.174603175</v>
      </c>
      <c r="M309" s="18">
        <f t="shared" si="2"/>
        <v>-31.74603175</v>
      </c>
      <c r="N309" s="18" t="str">
        <f t="shared" si="3"/>
        <v>Put Spread</v>
      </c>
      <c r="O309" s="18" t="str">
        <f t="shared" si="4"/>
        <v>Success</v>
      </c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</row>
    <row r="310">
      <c r="A310" s="13" t="s">
        <v>333</v>
      </c>
      <c r="B310" s="14" t="s">
        <v>18</v>
      </c>
      <c r="C310" s="15">
        <v>173.25</v>
      </c>
      <c r="D310" s="13" t="s">
        <v>19</v>
      </c>
      <c r="E310" s="15">
        <v>163.81</v>
      </c>
      <c r="F310" s="15">
        <v>4.0</v>
      </c>
      <c r="G310" s="15">
        <v>0.0</v>
      </c>
      <c r="H310" s="15">
        <v>5.0</v>
      </c>
      <c r="I310" s="16">
        <v>0.0</v>
      </c>
      <c r="J310" s="17">
        <f>IFERROR(__xludf.DUMMYFUNCTION("INDEX(GOOGLEFINANCE(A310, ""open"", $J$1, $J$1), 2, 2)"),168.37)</f>
        <v>168.37</v>
      </c>
      <c r="K310" s="17">
        <f>IFERROR(__xludf.DUMMYFUNCTION("INDEX(GOOGLEFINANCE(A310, ""close"", $K$1, $K$1), 2, 2)"),163.03)</f>
        <v>163.03</v>
      </c>
      <c r="L310" s="8">
        <f t="shared" si="1"/>
        <v>-3.171586387</v>
      </c>
      <c r="M310" s="18">
        <f t="shared" si="2"/>
        <v>-31.71586387</v>
      </c>
      <c r="N310" s="18" t="str">
        <f t="shared" si="3"/>
        <v>Put Spread</v>
      </c>
      <c r="O310" s="18" t="str">
        <f t="shared" si="4"/>
        <v>No</v>
      </c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</row>
    <row r="311">
      <c r="A311" s="13" t="s">
        <v>334</v>
      </c>
      <c r="B311" s="14" t="s">
        <v>18</v>
      </c>
      <c r="C311" s="15">
        <v>25.81</v>
      </c>
      <c r="D311" s="13" t="s">
        <v>19</v>
      </c>
      <c r="E311" s="15">
        <v>23.83</v>
      </c>
      <c r="F311" s="15">
        <v>4.0</v>
      </c>
      <c r="G311" s="15">
        <v>2.0</v>
      </c>
      <c r="H311" s="15">
        <v>4.0</v>
      </c>
      <c r="I311" s="16">
        <v>1.06026433341431</v>
      </c>
      <c r="J311" s="17">
        <f>IFERROR(__xludf.DUMMYFUNCTION("INDEX(GOOGLEFINANCE(A311, ""open"", $J$1, $J$1), 2, 2)"),24.73)</f>
        <v>24.73</v>
      </c>
      <c r="K311" s="17">
        <f>IFERROR(__xludf.DUMMYFUNCTION("INDEX(GOOGLEFINANCE(A311, ""close"", $K$1, $K$1), 2, 2)"),23.95)</f>
        <v>23.95</v>
      </c>
      <c r="L311" s="8">
        <f t="shared" si="1"/>
        <v>-3.15406389</v>
      </c>
      <c r="M311" s="18">
        <f t="shared" si="2"/>
        <v>-31.5406389</v>
      </c>
      <c r="N311" s="18" t="str">
        <f t="shared" si="3"/>
        <v>Put Spread</v>
      </c>
      <c r="O311" s="18" t="str">
        <f t="shared" si="4"/>
        <v>Success</v>
      </c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</row>
    <row r="312">
      <c r="A312" s="13" t="s">
        <v>335</v>
      </c>
      <c r="B312" s="14" t="s">
        <v>18</v>
      </c>
      <c r="C312" s="15">
        <v>237.55</v>
      </c>
      <c r="D312" s="13" t="s">
        <v>19</v>
      </c>
      <c r="E312" s="15">
        <v>218.09</v>
      </c>
      <c r="F312" s="15">
        <v>2.0</v>
      </c>
      <c r="G312" s="15">
        <v>2.0</v>
      </c>
      <c r="H312" s="15">
        <v>2.0</v>
      </c>
      <c r="I312" s="16">
        <v>0.0</v>
      </c>
      <c r="J312" s="17">
        <f>IFERROR(__xludf.DUMMYFUNCTION("INDEX(GOOGLEFINANCE(A312, ""open"", $J$1, $J$1), 2, 2)"),228.91)</f>
        <v>228.91</v>
      </c>
      <c r="K312" s="17">
        <f>IFERROR(__xludf.DUMMYFUNCTION("INDEX(GOOGLEFINANCE(A312, ""close"", $K$1, $K$1), 2, 2)"),221.71)</f>
        <v>221.71</v>
      </c>
      <c r="L312" s="20">
        <f t="shared" si="1"/>
        <v>-3.145340964</v>
      </c>
      <c r="M312" s="18">
        <f t="shared" si="2"/>
        <v>-31.45340964</v>
      </c>
      <c r="N312" s="18" t="str">
        <f t="shared" si="3"/>
        <v>Put Spread</v>
      </c>
      <c r="O312" s="18" t="str">
        <f t="shared" si="4"/>
        <v>Success</v>
      </c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</row>
    <row r="313">
      <c r="A313" s="13" t="s">
        <v>336</v>
      </c>
      <c r="B313" s="14" t="s">
        <v>18</v>
      </c>
      <c r="C313" s="15">
        <v>88.6</v>
      </c>
      <c r="D313" s="13" t="s">
        <v>19</v>
      </c>
      <c r="E313" s="15">
        <v>81.88</v>
      </c>
      <c r="F313" s="15">
        <v>5.0</v>
      </c>
      <c r="G313" s="15">
        <v>2.0</v>
      </c>
      <c r="H313" s="15">
        <v>5.0</v>
      </c>
      <c r="I313" s="16">
        <v>0.0</v>
      </c>
      <c r="J313" s="17">
        <f>IFERROR(__xludf.DUMMYFUNCTION("INDEX(GOOGLEFINANCE(A313, ""open"", $J$1, $J$1), 2, 2)"),85.31)</f>
        <v>85.31</v>
      </c>
      <c r="K313" s="17">
        <f>IFERROR(__xludf.DUMMYFUNCTION("INDEX(GOOGLEFINANCE(A313, ""close"", $K$1, $K$1), 2, 2)"),82.64)</f>
        <v>82.64</v>
      </c>
      <c r="L313" s="8">
        <f t="shared" si="1"/>
        <v>-3.129762044</v>
      </c>
      <c r="M313" s="18">
        <f t="shared" si="2"/>
        <v>-31.29762044</v>
      </c>
      <c r="N313" s="18" t="str">
        <f t="shared" si="3"/>
        <v>Put Spread</v>
      </c>
      <c r="O313" s="18" t="str">
        <f t="shared" si="4"/>
        <v>Success</v>
      </c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</row>
    <row r="314">
      <c r="A314" s="13" t="s">
        <v>337</v>
      </c>
      <c r="B314" s="14" t="s">
        <v>18</v>
      </c>
      <c r="C314" s="15">
        <v>199.54</v>
      </c>
      <c r="D314" s="13" t="s">
        <v>19</v>
      </c>
      <c r="E314" s="15">
        <v>179.5</v>
      </c>
      <c r="F314" s="15">
        <v>3.0</v>
      </c>
      <c r="G314" s="15">
        <v>4.0</v>
      </c>
      <c r="H314" s="15">
        <v>4.0</v>
      </c>
      <c r="I314" s="16">
        <v>1.46019304146031</v>
      </c>
      <c r="J314" s="17">
        <f>IFERROR(__xludf.DUMMYFUNCTION("INDEX(GOOGLEFINANCE(A314, ""open"", $J$1, $J$1), 2, 2)"),190.12)</f>
        <v>190.12</v>
      </c>
      <c r="K314" s="17">
        <f>IFERROR(__xludf.DUMMYFUNCTION("INDEX(GOOGLEFINANCE(A314, ""close"", $K$1, $K$1), 2, 2)"),184.26)</f>
        <v>184.26</v>
      </c>
      <c r="L314" s="20">
        <f t="shared" si="1"/>
        <v>-3.082263833</v>
      </c>
      <c r="M314" s="18">
        <f t="shared" si="2"/>
        <v>-30.82263833</v>
      </c>
      <c r="N314" s="18" t="str">
        <f t="shared" si="3"/>
        <v>Put Spread</v>
      </c>
      <c r="O314" s="18" t="str">
        <f t="shared" si="4"/>
        <v>Success</v>
      </c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</row>
    <row r="315">
      <c r="A315" s="13" t="s">
        <v>338</v>
      </c>
      <c r="B315" s="14" t="s">
        <v>18</v>
      </c>
      <c r="C315" s="15">
        <v>37.68</v>
      </c>
      <c r="D315" s="13" t="s">
        <v>19</v>
      </c>
      <c r="E315" s="15">
        <v>35.04</v>
      </c>
      <c r="F315" s="15">
        <v>4.0</v>
      </c>
      <c r="G315" s="15">
        <v>1.0</v>
      </c>
      <c r="H315" s="15">
        <v>5.0</v>
      </c>
      <c r="I315" s="16">
        <v>2.25653132736697</v>
      </c>
      <c r="J315" s="17">
        <f>IFERROR(__xludf.DUMMYFUNCTION("INDEX(GOOGLEFINANCE(A315, ""open"", $J$1, $J$1), 2, 2)"),36.35)</f>
        <v>36.35</v>
      </c>
      <c r="K315" s="17">
        <f>IFERROR(__xludf.DUMMYFUNCTION("INDEX(GOOGLEFINANCE(A315, ""close"", $K$1, $K$1), 2, 2)"),35.23)</f>
        <v>35.23</v>
      </c>
      <c r="L315" s="8">
        <f t="shared" si="1"/>
        <v>-3.081155433</v>
      </c>
      <c r="M315" s="18">
        <f t="shared" si="2"/>
        <v>-30.81155433</v>
      </c>
      <c r="N315" s="18" t="str">
        <f t="shared" si="3"/>
        <v>Put Spread</v>
      </c>
      <c r="O315" s="18" t="str">
        <f t="shared" si="4"/>
        <v>Success</v>
      </c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</row>
    <row r="316">
      <c r="A316" s="13" t="s">
        <v>339</v>
      </c>
      <c r="B316" s="14" t="s">
        <v>18</v>
      </c>
      <c r="C316" s="15">
        <v>98.32</v>
      </c>
      <c r="D316" s="13" t="s">
        <v>19</v>
      </c>
      <c r="E316" s="15">
        <v>91.58</v>
      </c>
      <c r="F316" s="15">
        <v>4.0</v>
      </c>
      <c r="G316" s="15">
        <v>1.0</v>
      </c>
      <c r="H316" s="15">
        <v>4.0</v>
      </c>
      <c r="I316" s="16">
        <v>0.0</v>
      </c>
      <c r="J316" s="17">
        <f>IFERROR(__xludf.DUMMYFUNCTION("INDEX(GOOGLEFINANCE(A316, ""open"", $J$1, $J$1), 2, 2)"),95.69)</f>
        <v>95.69</v>
      </c>
      <c r="K316" s="17">
        <f>IFERROR(__xludf.DUMMYFUNCTION("INDEX(GOOGLEFINANCE(A316, ""close"", $K$1, $K$1), 2, 2)"),92.75)</f>
        <v>92.75</v>
      </c>
      <c r="L316" s="8">
        <f t="shared" si="1"/>
        <v>-3.072421361</v>
      </c>
      <c r="M316" s="18">
        <f t="shared" si="2"/>
        <v>-30.72421361</v>
      </c>
      <c r="N316" s="18" t="str">
        <f t="shared" si="3"/>
        <v>Put Spread</v>
      </c>
      <c r="O316" s="18" t="str">
        <f t="shared" si="4"/>
        <v>Success</v>
      </c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</row>
    <row r="317">
      <c r="A317" s="13" t="s">
        <v>340</v>
      </c>
      <c r="B317" s="14" t="s">
        <v>18</v>
      </c>
      <c r="C317" s="15">
        <v>35.82</v>
      </c>
      <c r="D317" s="13" t="s">
        <v>19</v>
      </c>
      <c r="E317" s="15">
        <v>33.5</v>
      </c>
      <c r="F317" s="15">
        <v>3.0</v>
      </c>
      <c r="G317" s="15">
        <v>1.0</v>
      </c>
      <c r="H317" s="15">
        <v>5.0</v>
      </c>
      <c r="I317" s="16">
        <v>0.0</v>
      </c>
      <c r="J317" s="17">
        <f>IFERROR(__xludf.DUMMYFUNCTION("INDEX(GOOGLEFINANCE(A317, ""open"", $J$1, $J$1), 2, 2)"),34.65)</f>
        <v>34.65</v>
      </c>
      <c r="K317" s="17">
        <f>IFERROR(__xludf.DUMMYFUNCTION("INDEX(GOOGLEFINANCE(A317, ""close"", $K$1, $K$1), 2, 2)"),33.59)</f>
        <v>33.59</v>
      </c>
      <c r="L317" s="8">
        <f t="shared" si="1"/>
        <v>-3.059163059</v>
      </c>
      <c r="M317" s="18">
        <f t="shared" si="2"/>
        <v>-30.59163059</v>
      </c>
      <c r="N317" s="18" t="str">
        <f t="shared" si="3"/>
        <v>Put Spread</v>
      </c>
      <c r="O317" s="18" t="str">
        <f t="shared" si="4"/>
        <v>Success</v>
      </c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</row>
    <row r="318">
      <c r="A318" s="13" t="s">
        <v>341</v>
      </c>
      <c r="B318" s="14" t="s">
        <v>18</v>
      </c>
      <c r="C318" s="15">
        <v>73.56</v>
      </c>
      <c r="D318" s="13" t="s">
        <v>19</v>
      </c>
      <c r="E318" s="15">
        <v>67.24</v>
      </c>
      <c r="F318" s="15">
        <v>3.0</v>
      </c>
      <c r="G318" s="15">
        <v>2.0</v>
      </c>
      <c r="H318" s="15">
        <v>3.0</v>
      </c>
      <c r="I318" s="16">
        <v>0.0</v>
      </c>
      <c r="J318" s="17">
        <f>IFERROR(__xludf.DUMMYFUNCTION("INDEX(GOOGLEFINANCE(A318, ""open"", $J$1, $J$1), 2, 2)"),70.74)</f>
        <v>70.74</v>
      </c>
      <c r="K318" s="17">
        <f>IFERROR(__xludf.DUMMYFUNCTION("INDEX(GOOGLEFINANCE(A318, ""close"", $K$1, $K$1), 2, 2)"),68.58)</f>
        <v>68.58</v>
      </c>
      <c r="L318" s="20">
        <f t="shared" si="1"/>
        <v>-3.053435115</v>
      </c>
      <c r="M318" s="18">
        <f t="shared" si="2"/>
        <v>-30.53435115</v>
      </c>
      <c r="N318" s="18" t="str">
        <f t="shared" si="3"/>
        <v>Put Spread</v>
      </c>
      <c r="O318" s="18" t="str">
        <f t="shared" si="4"/>
        <v>Success</v>
      </c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</row>
    <row r="319">
      <c r="A319" s="13" t="s">
        <v>342</v>
      </c>
      <c r="B319" s="14" t="s">
        <v>18</v>
      </c>
      <c r="C319" s="15">
        <v>101.02</v>
      </c>
      <c r="D319" s="13" t="s">
        <v>19</v>
      </c>
      <c r="E319" s="15">
        <v>94.46</v>
      </c>
      <c r="F319" s="15">
        <v>5.0</v>
      </c>
      <c r="G319" s="15">
        <v>3.0</v>
      </c>
      <c r="H319" s="15">
        <v>4.0</v>
      </c>
      <c r="I319" s="16">
        <v>0.0</v>
      </c>
      <c r="J319" s="17">
        <f>IFERROR(__xludf.DUMMYFUNCTION("INDEX(GOOGLEFINANCE(A319, ""open"", $J$1, $J$1), 2, 2)"),97.72)</f>
        <v>97.72</v>
      </c>
      <c r="K319" s="17">
        <f>IFERROR(__xludf.DUMMYFUNCTION("INDEX(GOOGLEFINANCE(A319, ""close"", $K$1, $K$1), 2, 2)"),94.75)</f>
        <v>94.75</v>
      </c>
      <c r="L319" s="8">
        <f t="shared" si="1"/>
        <v>-3.039295948</v>
      </c>
      <c r="M319" s="18">
        <f t="shared" si="2"/>
        <v>-30.39295948</v>
      </c>
      <c r="N319" s="18" t="str">
        <f t="shared" si="3"/>
        <v>Put Spread</v>
      </c>
      <c r="O319" s="18" t="str">
        <f t="shared" si="4"/>
        <v>Success</v>
      </c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</row>
    <row r="320">
      <c r="A320" s="13" t="s">
        <v>343</v>
      </c>
      <c r="B320" s="14" t="s">
        <v>18</v>
      </c>
      <c r="C320" s="15">
        <v>261.31</v>
      </c>
      <c r="D320" s="13" t="s">
        <v>19</v>
      </c>
      <c r="E320" s="15">
        <v>246.07</v>
      </c>
      <c r="F320" s="15">
        <v>5.0</v>
      </c>
      <c r="G320" s="15">
        <v>3.0</v>
      </c>
      <c r="H320" s="15">
        <v>5.0</v>
      </c>
      <c r="I320" s="16">
        <v>0.0</v>
      </c>
      <c r="J320" s="17">
        <f>IFERROR(__xludf.DUMMYFUNCTION("INDEX(GOOGLEFINANCE(A320, ""open"", $J$1, $J$1), 2, 2)"),252.35)</f>
        <v>252.35</v>
      </c>
      <c r="K320" s="17">
        <f>IFERROR(__xludf.DUMMYFUNCTION("INDEX(GOOGLEFINANCE(A320, ""close"", $K$1, $K$1), 2, 2)"),244.65)</f>
        <v>244.65</v>
      </c>
      <c r="L320" s="20">
        <f t="shared" si="1"/>
        <v>-3.051317614</v>
      </c>
      <c r="M320" s="18">
        <f t="shared" si="2"/>
        <v>-30.51317614</v>
      </c>
      <c r="N320" s="18" t="str">
        <f t="shared" si="3"/>
        <v>Put Spread</v>
      </c>
      <c r="O320" s="18" t="str">
        <f t="shared" si="4"/>
        <v>No</v>
      </c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</row>
    <row r="321">
      <c r="A321" s="13" t="s">
        <v>344</v>
      </c>
      <c r="B321" s="14" t="s">
        <v>18</v>
      </c>
      <c r="C321" s="15">
        <v>57.8</v>
      </c>
      <c r="D321" s="13" t="s">
        <v>19</v>
      </c>
      <c r="E321" s="15">
        <v>56.84</v>
      </c>
      <c r="F321" s="15">
        <v>4.0</v>
      </c>
      <c r="G321" s="15">
        <v>1.0</v>
      </c>
      <c r="H321" s="15">
        <v>4.0</v>
      </c>
      <c r="I321" s="16">
        <v>0.0</v>
      </c>
      <c r="J321" s="17">
        <f>IFERROR(__xludf.DUMMYFUNCTION("INDEX(GOOGLEFINANCE(A321, ""open"", $J$1, $J$1), 2, 2)"),57.35)</f>
        <v>57.35</v>
      </c>
      <c r="K321" s="17">
        <f>IFERROR(__xludf.DUMMYFUNCTION("INDEX(GOOGLEFINANCE(A321, ""close"", $K$1, $K$1), 2, 2)"),55.61)</f>
        <v>55.61</v>
      </c>
      <c r="L321" s="20">
        <f t="shared" si="1"/>
        <v>-3.034001744</v>
      </c>
      <c r="M321" s="18">
        <f t="shared" si="2"/>
        <v>-30.34001744</v>
      </c>
      <c r="N321" s="18" t="str">
        <f t="shared" si="3"/>
        <v>Put Spread</v>
      </c>
      <c r="O321" s="18" t="str">
        <f t="shared" si="4"/>
        <v>No</v>
      </c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</row>
    <row r="322">
      <c r="A322" s="13" t="s">
        <v>345</v>
      </c>
      <c r="B322" s="14" t="s">
        <v>18</v>
      </c>
      <c r="C322" s="15">
        <v>126.49</v>
      </c>
      <c r="D322" s="13" t="s">
        <v>19</v>
      </c>
      <c r="E322" s="15">
        <v>115.31</v>
      </c>
      <c r="F322" s="15">
        <v>3.0</v>
      </c>
      <c r="G322" s="15">
        <v>1.0</v>
      </c>
      <c r="H322" s="15">
        <v>4.0</v>
      </c>
      <c r="I322" s="16">
        <v>-1.6886607</v>
      </c>
      <c r="J322" s="17">
        <f>IFERROR(__xludf.DUMMYFUNCTION("INDEX(GOOGLEFINANCE(A322, ""open"", $J$1, $J$1), 2, 2)"),120.32)</f>
        <v>120.32</v>
      </c>
      <c r="K322" s="17">
        <f>IFERROR(__xludf.DUMMYFUNCTION("INDEX(GOOGLEFINANCE(A322, ""close"", $K$1, $K$1), 2, 2)"),116.68)</f>
        <v>116.68</v>
      </c>
      <c r="L322" s="8">
        <f t="shared" si="1"/>
        <v>-3.025265957</v>
      </c>
      <c r="M322" s="18">
        <f t="shared" si="2"/>
        <v>-30.25265957</v>
      </c>
      <c r="N322" s="18" t="str">
        <f t="shared" si="3"/>
        <v>Put Spread</v>
      </c>
      <c r="O322" s="18" t="str">
        <f t="shared" si="4"/>
        <v>Success</v>
      </c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</row>
    <row r="323">
      <c r="A323" s="13" t="s">
        <v>346</v>
      </c>
      <c r="B323" s="14" t="s">
        <v>18</v>
      </c>
      <c r="C323" s="15">
        <v>169.36</v>
      </c>
      <c r="D323" s="13" t="s">
        <v>19</v>
      </c>
      <c r="E323" s="15">
        <v>146.06</v>
      </c>
      <c r="F323" s="15">
        <v>3.0</v>
      </c>
      <c r="G323" s="15">
        <v>4.0</v>
      </c>
      <c r="H323" s="15">
        <v>5.0</v>
      </c>
      <c r="I323" s="16">
        <v>0.0</v>
      </c>
      <c r="J323" s="17">
        <f>IFERROR(__xludf.DUMMYFUNCTION("INDEX(GOOGLEFINANCE(A323, ""open"", $J$1, $J$1), 2, 2)"),159.0)</f>
        <v>159</v>
      </c>
      <c r="K323" s="17">
        <f>IFERROR(__xludf.DUMMYFUNCTION("INDEX(GOOGLEFINANCE(A323, ""close"", $K$1, $K$1), 2, 2)"),154.21)</f>
        <v>154.21</v>
      </c>
      <c r="L323" s="8">
        <f t="shared" si="1"/>
        <v>-3.012578616</v>
      </c>
      <c r="M323" s="18">
        <f t="shared" si="2"/>
        <v>-30.12578616</v>
      </c>
      <c r="N323" s="18" t="str">
        <f t="shared" si="3"/>
        <v>Put Spread</v>
      </c>
      <c r="O323" s="18" t="str">
        <f t="shared" si="4"/>
        <v>Success</v>
      </c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</row>
    <row r="324">
      <c r="A324" s="13" t="s">
        <v>347</v>
      </c>
      <c r="B324" s="14" t="s">
        <v>18</v>
      </c>
      <c r="C324" s="15">
        <v>9.98</v>
      </c>
      <c r="D324" s="13" t="s">
        <v>19</v>
      </c>
      <c r="E324" s="15">
        <v>8.62</v>
      </c>
      <c r="F324" s="15">
        <v>2.0</v>
      </c>
      <c r="G324" s="15">
        <v>2.0</v>
      </c>
      <c r="H324" s="15">
        <v>3.0</v>
      </c>
      <c r="I324" s="16">
        <v>4.43748980792336</v>
      </c>
      <c r="J324" s="17">
        <f>IFERROR(__xludf.DUMMYFUNCTION("INDEX(GOOGLEFINANCE(A324, ""open"", $J$1, $J$1), 2, 2)"),9.31)</f>
        <v>9.31</v>
      </c>
      <c r="K324" s="17">
        <f>IFERROR(__xludf.DUMMYFUNCTION("INDEX(GOOGLEFINANCE(A324, ""close"", $K$1, $K$1), 2, 2)"),9.03)</f>
        <v>9.03</v>
      </c>
      <c r="L324" s="8">
        <f t="shared" si="1"/>
        <v>-3.007518797</v>
      </c>
      <c r="M324" s="18">
        <f t="shared" si="2"/>
        <v>-30.07518797</v>
      </c>
      <c r="N324" s="18" t="str">
        <f t="shared" si="3"/>
        <v>Put Spread</v>
      </c>
      <c r="O324" s="18" t="str">
        <f t="shared" si="4"/>
        <v>Success</v>
      </c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</row>
    <row r="325">
      <c r="A325" s="13" t="s">
        <v>348</v>
      </c>
      <c r="B325" s="14" t="s">
        <v>18</v>
      </c>
      <c r="C325" s="15">
        <v>538.41</v>
      </c>
      <c r="D325" s="13" t="s">
        <v>19</v>
      </c>
      <c r="E325" s="15">
        <v>496.35</v>
      </c>
      <c r="F325" s="15">
        <v>4.0</v>
      </c>
      <c r="G325" s="15">
        <v>3.0</v>
      </c>
      <c r="H325" s="15">
        <v>5.0</v>
      </c>
      <c r="I325" s="16">
        <v>0.0</v>
      </c>
      <c r="J325" s="17">
        <f>IFERROR(__xludf.DUMMYFUNCTION("INDEX(GOOGLEFINANCE(A325, ""open"", $J$1, $J$1), 2, 2)"),516.42)</f>
        <v>516.42</v>
      </c>
      <c r="K325" s="17">
        <f>IFERROR(__xludf.DUMMYFUNCTION("INDEX(GOOGLEFINANCE(A325, ""close"", $K$1, $K$1), 2, 2)"),500.98)</f>
        <v>500.98</v>
      </c>
      <c r="L325" s="8">
        <f t="shared" si="1"/>
        <v>-2.989814492</v>
      </c>
      <c r="M325" s="18">
        <f t="shared" si="2"/>
        <v>-29.89814492</v>
      </c>
      <c r="N325" s="18" t="str">
        <f t="shared" si="3"/>
        <v>Put Spread</v>
      </c>
      <c r="O325" s="18" t="str">
        <f t="shared" si="4"/>
        <v>Success</v>
      </c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</row>
    <row r="326">
      <c r="A326" s="13" t="s">
        <v>349</v>
      </c>
      <c r="B326" s="14" t="s">
        <v>18</v>
      </c>
      <c r="C326" s="15">
        <v>15.0</v>
      </c>
      <c r="D326" s="13" t="s">
        <v>19</v>
      </c>
      <c r="E326" s="15">
        <v>13.1</v>
      </c>
      <c r="F326" s="15">
        <v>4.0</v>
      </c>
      <c r="G326" s="15">
        <v>1.0</v>
      </c>
      <c r="H326" s="15">
        <v>4.0</v>
      </c>
      <c r="I326" s="16">
        <v>0.0</v>
      </c>
      <c r="J326" s="17">
        <f>IFERROR(__xludf.DUMMYFUNCTION("INDEX(GOOGLEFINANCE(A326, ""open"", $J$1, $J$1), 2, 2)"),13.75)</f>
        <v>13.75</v>
      </c>
      <c r="K326" s="17">
        <f>IFERROR(__xludf.DUMMYFUNCTION("INDEX(GOOGLEFINANCE(A326, ""close"", $K$1, $K$1), 2, 2)"),13.87)</f>
        <v>13.87</v>
      </c>
      <c r="L326" s="8">
        <f t="shared" si="1"/>
        <v>0.8727272727</v>
      </c>
      <c r="M326" s="18">
        <f t="shared" si="2"/>
        <v>8.727272727</v>
      </c>
      <c r="N326" s="18" t="str">
        <f t="shared" si="3"/>
        <v>Put Spread</v>
      </c>
      <c r="O326" s="18" t="str">
        <f t="shared" si="4"/>
        <v>Success</v>
      </c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</row>
    <row r="327">
      <c r="A327" s="13" t="s">
        <v>350</v>
      </c>
      <c r="B327" s="14" t="s">
        <v>18</v>
      </c>
      <c r="C327" s="15">
        <v>9.81</v>
      </c>
      <c r="D327" s="13" t="s">
        <v>19</v>
      </c>
      <c r="E327" s="15">
        <v>9.05</v>
      </c>
      <c r="F327" s="15">
        <v>5.0</v>
      </c>
      <c r="G327" s="15">
        <v>2.0</v>
      </c>
      <c r="H327" s="15">
        <v>3.0</v>
      </c>
      <c r="I327" s="16">
        <v>0.0</v>
      </c>
      <c r="J327" s="17">
        <f>IFERROR(__xludf.DUMMYFUNCTION("INDEX(GOOGLEFINANCE(A327, ""open"", $J$1, $J$1), 2, 2)"),9.46)</f>
        <v>9.46</v>
      </c>
      <c r="K327" s="17">
        <f>IFERROR(__xludf.DUMMYFUNCTION("INDEX(GOOGLEFINANCE(A327, ""close"", $K$1, $K$1), 2, 2)"),9.18)</f>
        <v>9.18</v>
      </c>
      <c r="L327" s="8">
        <f t="shared" si="1"/>
        <v>-2.959830867</v>
      </c>
      <c r="M327" s="18">
        <f t="shared" si="2"/>
        <v>-29.59830867</v>
      </c>
      <c r="N327" s="18" t="str">
        <f t="shared" si="3"/>
        <v>Put Spread</v>
      </c>
      <c r="O327" s="18" t="str">
        <f t="shared" si="4"/>
        <v>Success</v>
      </c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</row>
    <row r="328">
      <c r="A328" s="13" t="s">
        <v>351</v>
      </c>
      <c r="B328" s="14" t="s">
        <v>18</v>
      </c>
      <c r="C328" s="15">
        <v>535.96</v>
      </c>
      <c r="D328" s="13" t="s">
        <v>19</v>
      </c>
      <c r="E328" s="15">
        <v>506.16</v>
      </c>
      <c r="F328" s="15">
        <v>2.0</v>
      </c>
      <c r="G328" s="15">
        <v>2.0</v>
      </c>
      <c r="H328" s="15">
        <v>2.0</v>
      </c>
      <c r="I328" s="16">
        <v>4.00372011501493</v>
      </c>
      <c r="J328" s="17">
        <f>IFERROR(__xludf.DUMMYFUNCTION("INDEX(GOOGLEFINANCE(A328, ""open"", $J$1, $J$1), 2, 2)"),516.7)</f>
        <v>516.7</v>
      </c>
      <c r="K328" s="17">
        <f>IFERROR(__xludf.DUMMYFUNCTION("INDEX(GOOGLEFINANCE(A328, ""close"", $K$1, $K$1), 2, 2)"),501.52)</f>
        <v>501.52</v>
      </c>
      <c r="L328" s="8">
        <f t="shared" si="1"/>
        <v>-2.937874976</v>
      </c>
      <c r="M328" s="18">
        <f t="shared" si="2"/>
        <v>-29.37874976</v>
      </c>
      <c r="N328" s="18" t="str">
        <f t="shared" si="3"/>
        <v>Put Spread</v>
      </c>
      <c r="O328" s="18" t="str">
        <f t="shared" si="4"/>
        <v>No</v>
      </c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</row>
    <row r="329">
      <c r="A329" s="13" t="s">
        <v>352</v>
      </c>
      <c r="B329" s="14" t="s">
        <v>18</v>
      </c>
      <c r="C329" s="15">
        <v>316.75</v>
      </c>
      <c r="D329" s="13" t="s">
        <v>19</v>
      </c>
      <c r="E329" s="15">
        <v>296.41</v>
      </c>
      <c r="F329" s="15">
        <v>4.0</v>
      </c>
      <c r="G329" s="15">
        <v>1.0</v>
      </c>
      <c r="H329" s="15">
        <v>4.0</v>
      </c>
      <c r="I329" s="16">
        <v>3.0722237652322</v>
      </c>
      <c r="J329" s="17">
        <f>IFERROR(__xludf.DUMMYFUNCTION("INDEX(GOOGLEFINANCE(A329, ""open"", $J$1, $J$1), 2, 2)"),305.82)</f>
        <v>305.82</v>
      </c>
      <c r="K329" s="17">
        <f>IFERROR(__xludf.DUMMYFUNCTION("INDEX(GOOGLEFINANCE(A329, ""close"", $K$1, $K$1), 2, 2)"),296.88)</f>
        <v>296.88</v>
      </c>
      <c r="L329" s="8">
        <f t="shared" si="1"/>
        <v>-2.923288209</v>
      </c>
      <c r="M329" s="18">
        <f t="shared" si="2"/>
        <v>-29.23288209</v>
      </c>
      <c r="N329" s="18" t="str">
        <f t="shared" si="3"/>
        <v>Put Spread</v>
      </c>
      <c r="O329" s="18" t="str">
        <f t="shared" si="4"/>
        <v>Success</v>
      </c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</row>
    <row r="330">
      <c r="A330" s="13" t="s">
        <v>353</v>
      </c>
      <c r="B330" s="14" t="s">
        <v>18</v>
      </c>
      <c r="C330" s="15">
        <v>100.1</v>
      </c>
      <c r="D330" s="13" t="s">
        <v>19</v>
      </c>
      <c r="E330" s="15">
        <v>94.36</v>
      </c>
      <c r="F330" s="15">
        <v>4.0</v>
      </c>
      <c r="G330" s="15">
        <v>3.0</v>
      </c>
      <c r="H330" s="15">
        <v>2.0</v>
      </c>
      <c r="I330" s="16">
        <v>-0.1864854</v>
      </c>
      <c r="J330" s="17">
        <f>IFERROR(__xludf.DUMMYFUNCTION("INDEX(GOOGLEFINANCE(A330, ""open"", $J$1, $J$1), 2, 2)"),96.83)</f>
        <v>96.83</v>
      </c>
      <c r="K330" s="17">
        <f>IFERROR(__xludf.DUMMYFUNCTION("INDEX(GOOGLEFINANCE(A330, ""close"", $K$1, $K$1), 2, 2)"),94.01)</f>
        <v>94.01</v>
      </c>
      <c r="L330" s="8">
        <f t="shared" si="1"/>
        <v>-2.912320562</v>
      </c>
      <c r="M330" s="18">
        <f t="shared" si="2"/>
        <v>-29.12320562</v>
      </c>
      <c r="N330" s="18" t="str">
        <f t="shared" si="3"/>
        <v>Put Spread</v>
      </c>
      <c r="O330" s="18" t="str">
        <f t="shared" si="4"/>
        <v>No</v>
      </c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</row>
    <row r="331">
      <c r="A331" s="13" t="s">
        <v>354</v>
      </c>
      <c r="B331" s="14" t="s">
        <v>18</v>
      </c>
      <c r="C331" s="15">
        <v>41.86</v>
      </c>
      <c r="D331" s="13" t="s">
        <v>19</v>
      </c>
      <c r="E331" s="15">
        <v>39.8</v>
      </c>
      <c r="F331" s="15">
        <v>1.0</v>
      </c>
      <c r="G331" s="15">
        <v>2.0</v>
      </c>
      <c r="H331" s="15">
        <v>5.0</v>
      </c>
      <c r="I331" s="16">
        <v>0.0</v>
      </c>
      <c r="J331" s="17">
        <f>IFERROR(__xludf.DUMMYFUNCTION("INDEX(GOOGLEFINANCE(A331, ""open"", $J$1, $J$1), 2, 2)"),40.73)</f>
        <v>40.73</v>
      </c>
      <c r="K331" s="17">
        <f>IFERROR(__xludf.DUMMYFUNCTION("INDEX(GOOGLEFINANCE(A331, ""close"", $K$1, $K$1), 2, 2)"),39.55)</f>
        <v>39.55</v>
      </c>
      <c r="L331" s="8">
        <f t="shared" si="1"/>
        <v>-2.897127425</v>
      </c>
      <c r="M331" s="18">
        <f t="shared" si="2"/>
        <v>-28.97127425</v>
      </c>
      <c r="N331" s="18" t="str">
        <f t="shared" si="3"/>
        <v>Put Spread</v>
      </c>
      <c r="O331" s="18" t="str">
        <f t="shared" si="4"/>
        <v>No</v>
      </c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</row>
    <row r="332">
      <c r="A332" s="13" t="s">
        <v>355</v>
      </c>
      <c r="B332" s="14" t="s">
        <v>18</v>
      </c>
      <c r="C332" s="15">
        <v>456.63</v>
      </c>
      <c r="D332" s="13" t="s">
        <v>19</v>
      </c>
      <c r="E332" s="15">
        <v>441.41</v>
      </c>
      <c r="F332" s="15">
        <v>4.0</v>
      </c>
      <c r="G332" s="15">
        <v>1.0</v>
      </c>
      <c r="H332" s="15">
        <v>4.0</v>
      </c>
      <c r="I332" s="16">
        <v>0.0</v>
      </c>
      <c r="J332" s="17">
        <f>IFERROR(__xludf.DUMMYFUNCTION("INDEX(GOOGLEFINANCE(A332, ""open"", $J$1, $J$1), 2, 2)"),448.66)</f>
        <v>448.66</v>
      </c>
      <c r="K332" s="17">
        <f>IFERROR(__xludf.DUMMYFUNCTION("INDEX(GOOGLEFINANCE(A332, ""close"", $K$1, $K$1), 2, 2)"),435.72)</f>
        <v>435.72</v>
      </c>
      <c r="L332" s="20">
        <f t="shared" si="1"/>
        <v>-2.884143895</v>
      </c>
      <c r="M332" s="18">
        <f t="shared" si="2"/>
        <v>-28.84143895</v>
      </c>
      <c r="N332" s="18" t="str">
        <f t="shared" si="3"/>
        <v>Put Spread</v>
      </c>
      <c r="O332" s="18" t="str">
        <f t="shared" si="4"/>
        <v>No</v>
      </c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</row>
    <row r="333">
      <c r="A333" s="13" t="s">
        <v>356</v>
      </c>
      <c r="B333" s="14" t="s">
        <v>18</v>
      </c>
      <c r="C333" s="15">
        <v>20.01</v>
      </c>
      <c r="D333" s="13" t="s">
        <v>19</v>
      </c>
      <c r="E333" s="15">
        <v>18.41</v>
      </c>
      <c r="F333" s="15">
        <v>3.0</v>
      </c>
      <c r="G333" s="15">
        <v>4.0</v>
      </c>
      <c r="H333" s="15">
        <v>1.0</v>
      </c>
      <c r="I333" s="16">
        <v>0.0</v>
      </c>
      <c r="J333" s="17">
        <f>IFERROR(__xludf.DUMMYFUNCTION("INDEX(GOOGLEFINANCE(A333, ""open"", $J$1, $J$1), 2, 2)"),19.07)</f>
        <v>19.07</v>
      </c>
      <c r="K333" s="17">
        <f>IFERROR(__xludf.DUMMYFUNCTION("INDEX(GOOGLEFINANCE(A333, ""close"", $K$1, $K$1), 2, 2)"),18.52)</f>
        <v>18.52</v>
      </c>
      <c r="L333" s="8">
        <f t="shared" si="1"/>
        <v>-2.884111169</v>
      </c>
      <c r="M333" s="18">
        <f t="shared" si="2"/>
        <v>-28.84111169</v>
      </c>
      <c r="N333" s="18" t="str">
        <f t="shared" si="3"/>
        <v>Put Spread</v>
      </c>
      <c r="O333" s="18" t="str">
        <f t="shared" si="4"/>
        <v>Success</v>
      </c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</row>
    <row r="334">
      <c r="A334" s="13" t="s">
        <v>357</v>
      </c>
      <c r="B334" s="14" t="s">
        <v>18</v>
      </c>
      <c r="C334" s="15">
        <v>51.42</v>
      </c>
      <c r="D334" s="13" t="s">
        <v>19</v>
      </c>
      <c r="E334" s="15">
        <v>45.4</v>
      </c>
      <c r="F334" s="15">
        <v>3.0</v>
      </c>
      <c r="G334" s="15">
        <v>3.0</v>
      </c>
      <c r="H334" s="15">
        <v>5.0</v>
      </c>
      <c r="I334" s="16">
        <v>0.0</v>
      </c>
      <c r="J334" s="17">
        <f>IFERROR(__xludf.DUMMYFUNCTION("INDEX(GOOGLEFINANCE(A334, ""open"", $J$1, $J$1), 2, 2)"),48.4)</f>
        <v>48.4</v>
      </c>
      <c r="K334" s="17">
        <f>IFERROR(__xludf.DUMMYFUNCTION("INDEX(GOOGLEFINANCE(A334, ""close"", $K$1, $K$1), 2, 2)"),47.01)</f>
        <v>47.01</v>
      </c>
      <c r="L334" s="8">
        <f t="shared" si="1"/>
        <v>-2.871900826</v>
      </c>
      <c r="M334" s="18">
        <f t="shared" si="2"/>
        <v>-28.71900826</v>
      </c>
      <c r="N334" s="18" t="str">
        <f t="shared" si="3"/>
        <v>Put Spread</v>
      </c>
      <c r="O334" s="18" t="str">
        <f t="shared" si="4"/>
        <v>Success</v>
      </c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</row>
    <row r="335">
      <c r="A335" s="13" t="s">
        <v>358</v>
      </c>
      <c r="B335" s="14" t="s">
        <v>18</v>
      </c>
      <c r="C335" s="15">
        <v>14.98</v>
      </c>
      <c r="D335" s="13" t="s">
        <v>19</v>
      </c>
      <c r="E335" s="15">
        <v>12.96</v>
      </c>
      <c r="F335" s="15">
        <v>5.0</v>
      </c>
      <c r="G335" s="15">
        <v>3.0</v>
      </c>
      <c r="H335" s="15">
        <v>5.0</v>
      </c>
      <c r="I335" s="16">
        <v>0.0</v>
      </c>
      <c r="J335" s="17">
        <f>IFERROR(__xludf.DUMMYFUNCTION("INDEX(GOOGLEFINANCE(A335, ""open"", $J$1, $J$1), 2, 2)"),13.93)</f>
        <v>13.93</v>
      </c>
      <c r="K335" s="17">
        <f>IFERROR(__xludf.DUMMYFUNCTION("INDEX(GOOGLEFINANCE(A335, ""close"", $K$1, $K$1), 2, 2)"),13.53)</f>
        <v>13.53</v>
      </c>
      <c r="L335" s="20">
        <f t="shared" si="1"/>
        <v>-2.871500359</v>
      </c>
      <c r="M335" s="18">
        <f t="shared" si="2"/>
        <v>-28.71500359</v>
      </c>
      <c r="N335" s="18" t="str">
        <f t="shared" si="3"/>
        <v>Put Spread</v>
      </c>
      <c r="O335" s="18" t="str">
        <f t="shared" si="4"/>
        <v>Success</v>
      </c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</row>
    <row r="336">
      <c r="A336" s="13" t="s">
        <v>359</v>
      </c>
      <c r="B336" s="14" t="s">
        <v>18</v>
      </c>
      <c r="C336" s="15">
        <v>1154.08</v>
      </c>
      <c r="D336" s="13" t="s">
        <v>19</v>
      </c>
      <c r="E336" s="15">
        <v>1092.48</v>
      </c>
      <c r="F336" s="15">
        <v>4.0</v>
      </c>
      <c r="G336" s="15">
        <v>1.0</v>
      </c>
      <c r="H336" s="15">
        <v>5.0</v>
      </c>
      <c r="I336" s="16">
        <v>0.0</v>
      </c>
      <c r="J336" s="17">
        <f>IFERROR(__xludf.DUMMYFUNCTION("INDEX(GOOGLEFINANCE(A336, ""open"", $J$1, $J$1), 2, 2)"),1124.0)</f>
        <v>1124</v>
      </c>
      <c r="K336" s="17">
        <f>IFERROR(__xludf.DUMMYFUNCTION("INDEX(GOOGLEFINANCE(A336, ""close"", $K$1, $K$1), 2, 2)"),1091.8)</f>
        <v>1091.8</v>
      </c>
      <c r="L336" s="8">
        <f t="shared" si="1"/>
        <v>-2.864768683</v>
      </c>
      <c r="M336" s="18">
        <f t="shared" si="2"/>
        <v>-28.64768683</v>
      </c>
      <c r="N336" s="18" t="str">
        <f t="shared" si="3"/>
        <v>Put Spread</v>
      </c>
      <c r="O336" s="18" t="str">
        <f t="shared" si="4"/>
        <v>No</v>
      </c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</row>
    <row r="337">
      <c r="A337" s="13" t="s">
        <v>360</v>
      </c>
      <c r="B337" s="14" t="s">
        <v>18</v>
      </c>
      <c r="C337" s="15">
        <v>47.83</v>
      </c>
      <c r="D337" s="13" t="s">
        <v>19</v>
      </c>
      <c r="E337" s="15">
        <v>41.89</v>
      </c>
      <c r="F337" s="15">
        <v>4.0</v>
      </c>
      <c r="G337" s="15">
        <v>3.0</v>
      </c>
      <c r="H337" s="15">
        <v>4.0</v>
      </c>
      <c r="I337" s="16">
        <v>0.0</v>
      </c>
      <c r="J337" s="17">
        <f>IFERROR(__xludf.DUMMYFUNCTION("INDEX(GOOGLEFINANCE(A337, ""open"", $J$1, $J$1), 2, 2)"),45.0)</f>
        <v>45</v>
      </c>
      <c r="K337" s="17">
        <f>IFERROR(__xludf.DUMMYFUNCTION("INDEX(GOOGLEFINANCE(A337, ""close"", $K$1, $K$1), 2, 2)"),43.73)</f>
        <v>43.73</v>
      </c>
      <c r="L337" s="8">
        <f t="shared" si="1"/>
        <v>-2.822222222</v>
      </c>
      <c r="M337" s="18">
        <f t="shared" si="2"/>
        <v>-28.22222222</v>
      </c>
      <c r="N337" s="18" t="str">
        <f t="shared" si="3"/>
        <v>Put Spread</v>
      </c>
      <c r="O337" s="18" t="str">
        <f t="shared" si="4"/>
        <v>Success</v>
      </c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</row>
    <row r="338">
      <c r="A338" s="13" t="s">
        <v>361</v>
      </c>
      <c r="B338" s="14" t="s">
        <v>18</v>
      </c>
      <c r="C338" s="15">
        <v>75.64</v>
      </c>
      <c r="D338" s="13" t="s">
        <v>19</v>
      </c>
      <c r="E338" s="15">
        <v>71.22</v>
      </c>
      <c r="F338" s="15">
        <v>2.0</v>
      </c>
      <c r="G338" s="15">
        <v>2.0</v>
      </c>
      <c r="H338" s="15">
        <v>3.0</v>
      </c>
      <c r="I338" s="16">
        <v>0.622188743693323</v>
      </c>
      <c r="J338" s="17">
        <f>IFERROR(__xludf.DUMMYFUNCTION("INDEX(GOOGLEFINANCE(A338, ""open"", $J$1, $J$1), 2, 2)"),73.23)</f>
        <v>73.23</v>
      </c>
      <c r="K338" s="17">
        <f>IFERROR(__xludf.DUMMYFUNCTION("INDEX(GOOGLEFINANCE(A338, ""close"", $K$1, $K$1), 2, 2)"),71.17)</f>
        <v>71.17</v>
      </c>
      <c r="L338" s="8">
        <f t="shared" si="1"/>
        <v>-2.813054759</v>
      </c>
      <c r="M338" s="18">
        <f t="shared" si="2"/>
        <v>-28.13054759</v>
      </c>
      <c r="N338" s="18" t="str">
        <f t="shared" si="3"/>
        <v>Put Spread</v>
      </c>
      <c r="O338" s="18" t="str">
        <f t="shared" si="4"/>
        <v>No</v>
      </c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</row>
    <row r="339">
      <c r="A339" s="13" t="s">
        <v>362</v>
      </c>
      <c r="B339" s="14" t="s">
        <v>18</v>
      </c>
      <c r="C339" s="15">
        <v>93.92</v>
      </c>
      <c r="D339" s="13" t="s">
        <v>19</v>
      </c>
      <c r="E339" s="15">
        <v>89.54</v>
      </c>
      <c r="F339" s="15">
        <v>4.0</v>
      </c>
      <c r="G339" s="15">
        <v>1.0</v>
      </c>
      <c r="H339" s="15">
        <v>4.0</v>
      </c>
      <c r="I339" s="16">
        <v>0.0</v>
      </c>
      <c r="J339" s="17">
        <f>IFERROR(__xludf.DUMMYFUNCTION("INDEX(GOOGLEFINANCE(A339, ""open"", $J$1, $J$1), 2, 2)"),91.49)</f>
        <v>91.49</v>
      </c>
      <c r="K339" s="17">
        <f>IFERROR(__xludf.DUMMYFUNCTION("INDEX(GOOGLEFINANCE(A339, ""close"", $K$1, $K$1), 2, 2)"),88.92)</f>
        <v>88.92</v>
      </c>
      <c r="L339" s="8">
        <f t="shared" si="1"/>
        <v>-2.809050169</v>
      </c>
      <c r="M339" s="18">
        <f t="shared" si="2"/>
        <v>-28.09050169</v>
      </c>
      <c r="N339" s="18" t="str">
        <f t="shared" si="3"/>
        <v>Put Spread</v>
      </c>
      <c r="O339" s="18" t="str">
        <f t="shared" si="4"/>
        <v>No</v>
      </c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</row>
    <row r="340">
      <c r="A340" s="13" t="s">
        <v>363</v>
      </c>
      <c r="B340" s="14" t="s">
        <v>18</v>
      </c>
      <c r="C340" s="15">
        <v>91.95</v>
      </c>
      <c r="D340" s="13" t="s">
        <v>19</v>
      </c>
      <c r="E340" s="15">
        <v>89.55</v>
      </c>
      <c r="F340" s="15">
        <v>2.0</v>
      </c>
      <c r="G340" s="15">
        <v>2.0</v>
      </c>
      <c r="H340" s="15">
        <v>5.0</v>
      </c>
      <c r="I340" s="16">
        <v>0.0</v>
      </c>
      <c r="J340" s="17">
        <f>IFERROR(__xludf.DUMMYFUNCTION("INDEX(GOOGLEFINANCE(A340, ""open"", $J$1, $J$1), 2, 2)"),89.81)</f>
        <v>89.81</v>
      </c>
      <c r="K340" s="17">
        <f>IFERROR(__xludf.DUMMYFUNCTION("INDEX(GOOGLEFINANCE(A340, ""close"", $K$1, $K$1), 2, 2)"),87.29)</f>
        <v>87.29</v>
      </c>
      <c r="L340" s="20">
        <f t="shared" si="1"/>
        <v>-2.805923617</v>
      </c>
      <c r="M340" s="18">
        <f t="shared" si="2"/>
        <v>-28.05923617</v>
      </c>
      <c r="N340" s="18" t="str">
        <f t="shared" si="3"/>
        <v>Put Spread</v>
      </c>
      <c r="O340" s="18" t="str">
        <f t="shared" si="4"/>
        <v>No</v>
      </c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</row>
    <row r="341">
      <c r="A341" s="13" t="s">
        <v>364</v>
      </c>
      <c r="B341" s="14" t="s">
        <v>18</v>
      </c>
      <c r="C341" s="15">
        <v>306.31</v>
      </c>
      <c r="D341" s="13" t="s">
        <v>19</v>
      </c>
      <c r="E341" s="15">
        <v>290.93</v>
      </c>
      <c r="F341" s="15">
        <v>5.0</v>
      </c>
      <c r="G341" s="15">
        <v>1.0</v>
      </c>
      <c r="H341" s="15">
        <v>5.0</v>
      </c>
      <c r="I341" s="16">
        <v>0.0</v>
      </c>
      <c r="J341" s="17">
        <f>IFERROR(__xludf.DUMMYFUNCTION("INDEX(GOOGLEFINANCE(A341, ""open"", $J$1, $J$1), 2, 2)"),297.66)</f>
        <v>297.66</v>
      </c>
      <c r="K341" s="17">
        <f>IFERROR(__xludf.DUMMYFUNCTION("INDEX(GOOGLEFINANCE(A341, ""close"", $K$1, $K$1), 2, 2)"),289.37)</f>
        <v>289.37</v>
      </c>
      <c r="L341" s="8">
        <f t="shared" si="1"/>
        <v>-2.785056776</v>
      </c>
      <c r="M341" s="18">
        <f t="shared" si="2"/>
        <v>-27.85056776</v>
      </c>
      <c r="N341" s="18" t="str">
        <f t="shared" si="3"/>
        <v>Put Spread</v>
      </c>
      <c r="O341" s="18" t="str">
        <f t="shared" si="4"/>
        <v>No</v>
      </c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</row>
    <row r="342">
      <c r="A342" s="13" t="s">
        <v>365</v>
      </c>
      <c r="B342" s="14" t="s">
        <v>18</v>
      </c>
      <c r="C342" s="15">
        <v>48.62</v>
      </c>
      <c r="D342" s="13" t="s">
        <v>19</v>
      </c>
      <c r="E342" s="15">
        <v>44.76</v>
      </c>
      <c r="F342" s="15">
        <v>5.0</v>
      </c>
      <c r="G342" s="15">
        <v>2.0</v>
      </c>
      <c r="H342" s="15">
        <v>1.0</v>
      </c>
      <c r="I342" s="16">
        <v>-0.6568091</v>
      </c>
      <c r="J342" s="17">
        <f>IFERROR(__xludf.DUMMYFUNCTION("INDEX(GOOGLEFINANCE(A342, ""open"", $J$1, $J$1), 2, 2)"),46.81)</f>
        <v>46.81</v>
      </c>
      <c r="K342" s="17">
        <f>IFERROR(__xludf.DUMMYFUNCTION("INDEX(GOOGLEFINANCE(A342, ""close"", $K$1, $K$1), 2, 2)"),45.51)</f>
        <v>45.51</v>
      </c>
      <c r="L342" s="8">
        <f t="shared" si="1"/>
        <v>-2.777184362</v>
      </c>
      <c r="M342" s="18">
        <f t="shared" si="2"/>
        <v>-27.77184362</v>
      </c>
      <c r="N342" s="18" t="str">
        <f t="shared" si="3"/>
        <v>Put Spread</v>
      </c>
      <c r="O342" s="18" t="str">
        <f t="shared" si="4"/>
        <v>Success</v>
      </c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</row>
    <row r="343">
      <c r="A343" s="13" t="s">
        <v>366</v>
      </c>
      <c r="B343" s="14" t="s">
        <v>18</v>
      </c>
      <c r="C343" s="15">
        <v>67.81</v>
      </c>
      <c r="D343" s="13" t="s">
        <v>19</v>
      </c>
      <c r="E343" s="15">
        <v>63.67</v>
      </c>
      <c r="F343" s="15">
        <v>5.0</v>
      </c>
      <c r="G343" s="15">
        <v>1.0</v>
      </c>
      <c r="H343" s="15">
        <v>4.0</v>
      </c>
      <c r="I343" s="16">
        <v>-0.6013031</v>
      </c>
      <c r="J343" s="17">
        <f>IFERROR(__xludf.DUMMYFUNCTION("INDEX(GOOGLEFINANCE(A343, ""open"", $J$1, $J$1), 2, 2)"),66.09)</f>
        <v>66.09</v>
      </c>
      <c r="K343" s="17">
        <f>IFERROR(__xludf.DUMMYFUNCTION("INDEX(GOOGLEFINANCE(A343, ""close"", $K$1, $K$1), 2, 2)"),64.26)</f>
        <v>64.26</v>
      </c>
      <c r="L343" s="8">
        <f t="shared" si="1"/>
        <v>-2.76895143</v>
      </c>
      <c r="M343" s="18">
        <f t="shared" si="2"/>
        <v>-27.6895143</v>
      </c>
      <c r="N343" s="18" t="str">
        <f t="shared" si="3"/>
        <v>Put Spread</v>
      </c>
      <c r="O343" s="18" t="str">
        <f t="shared" si="4"/>
        <v>Success</v>
      </c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</row>
    <row r="344">
      <c r="A344" s="13" t="s">
        <v>367</v>
      </c>
      <c r="B344" s="14" t="s">
        <v>18</v>
      </c>
      <c r="C344" s="15">
        <v>147.07</v>
      </c>
      <c r="D344" s="13" t="s">
        <v>19</v>
      </c>
      <c r="E344" s="15">
        <v>138.95</v>
      </c>
      <c r="F344" s="15">
        <v>3.0</v>
      </c>
      <c r="G344" s="15">
        <v>1.0</v>
      </c>
      <c r="H344" s="15">
        <v>4.0</v>
      </c>
      <c r="I344" s="16">
        <v>0.0</v>
      </c>
      <c r="J344" s="17">
        <f>IFERROR(__xludf.DUMMYFUNCTION("INDEX(GOOGLEFINANCE(A344, ""open"", $J$1, $J$1), 2, 2)"),143.04)</f>
        <v>143.04</v>
      </c>
      <c r="K344" s="17">
        <f>IFERROR(__xludf.DUMMYFUNCTION("INDEX(GOOGLEFINANCE(A344, ""close"", $K$1, $K$1), 2, 2)"),139.09)</f>
        <v>139.09</v>
      </c>
      <c r="L344" s="20">
        <f t="shared" si="1"/>
        <v>-2.761465324</v>
      </c>
      <c r="M344" s="18">
        <f t="shared" si="2"/>
        <v>-27.61465324</v>
      </c>
      <c r="N344" s="18" t="str">
        <f t="shared" si="3"/>
        <v>Put Spread</v>
      </c>
      <c r="O344" s="18" t="str">
        <f t="shared" si="4"/>
        <v>Success</v>
      </c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</row>
    <row r="345">
      <c r="A345" s="13" t="s">
        <v>368</v>
      </c>
      <c r="B345" s="26" t="s">
        <v>47</v>
      </c>
      <c r="C345" s="15">
        <v>529.53</v>
      </c>
      <c r="D345" s="13" t="s">
        <v>48</v>
      </c>
      <c r="E345" s="15">
        <v>563.05</v>
      </c>
      <c r="F345" s="15">
        <v>3.0</v>
      </c>
      <c r="G345" s="15">
        <v>1.0</v>
      </c>
      <c r="H345" s="15">
        <v>1.0</v>
      </c>
      <c r="I345" s="16">
        <v>0.0</v>
      </c>
      <c r="J345" s="17">
        <f>IFERROR(__xludf.DUMMYFUNCTION("INDEX(GOOGLEFINANCE(A345, ""open"", $J$1, $J$1), 2, 2)"),542.46)</f>
        <v>542.46</v>
      </c>
      <c r="K345" s="17">
        <f>IFERROR(__xludf.DUMMYFUNCTION("INDEX(GOOGLEFINANCE(A345, ""close"", $K$1, $K$1), 2, 2)"),557.4)</f>
        <v>557.4</v>
      </c>
      <c r="L345" s="8">
        <f t="shared" si="1"/>
        <v>-2.754120119</v>
      </c>
      <c r="M345" s="18">
        <f t="shared" si="2"/>
        <v>-27.54120119</v>
      </c>
      <c r="N345" s="18" t="str">
        <f t="shared" si="3"/>
        <v>Call Spread</v>
      </c>
      <c r="O345" s="18" t="str">
        <f t="shared" si="4"/>
        <v>Success</v>
      </c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</row>
    <row r="346">
      <c r="A346" s="13" t="s">
        <v>369</v>
      </c>
      <c r="B346" s="14" t="s">
        <v>18</v>
      </c>
      <c r="C346" s="15">
        <v>183.57</v>
      </c>
      <c r="D346" s="13" t="s">
        <v>19</v>
      </c>
      <c r="E346" s="15">
        <v>177.75</v>
      </c>
      <c r="F346" s="15">
        <v>5.0</v>
      </c>
      <c r="G346" s="15">
        <v>1.0</v>
      </c>
      <c r="H346" s="15">
        <v>5.0</v>
      </c>
      <c r="I346" s="16">
        <v>0.0</v>
      </c>
      <c r="J346" s="17">
        <f>IFERROR(__xludf.DUMMYFUNCTION("INDEX(GOOGLEFINANCE(A346, ""open"", $J$1, $J$1), 2, 2)"),180.48)</f>
        <v>180.48</v>
      </c>
      <c r="K346" s="17">
        <f>IFERROR(__xludf.DUMMYFUNCTION("INDEX(GOOGLEFINANCE(A346, ""close"", $K$1, $K$1), 2, 2)"),175.51)</f>
        <v>175.51</v>
      </c>
      <c r="L346" s="8">
        <f t="shared" si="1"/>
        <v>-2.75376773</v>
      </c>
      <c r="M346" s="18">
        <f t="shared" si="2"/>
        <v>-27.5376773</v>
      </c>
      <c r="N346" s="18" t="str">
        <f t="shared" si="3"/>
        <v>Put Spread</v>
      </c>
      <c r="O346" s="18" t="str">
        <f t="shared" si="4"/>
        <v>No</v>
      </c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</row>
    <row r="347">
      <c r="A347" s="13" t="s">
        <v>370</v>
      </c>
      <c r="B347" s="14" t="s">
        <v>18</v>
      </c>
      <c r="C347" s="15">
        <v>64.7</v>
      </c>
      <c r="D347" s="13" t="s">
        <v>19</v>
      </c>
      <c r="E347" s="15">
        <v>62.18</v>
      </c>
      <c r="F347" s="15">
        <v>4.0</v>
      </c>
      <c r="G347" s="15">
        <v>1.0</v>
      </c>
      <c r="H347" s="15">
        <v>5.0</v>
      </c>
      <c r="I347" s="16">
        <v>0.0</v>
      </c>
      <c r="J347" s="17">
        <f>IFERROR(__xludf.DUMMYFUNCTION("INDEX(GOOGLEFINANCE(A347, ""open"", $J$1, $J$1), 2, 2)"),63.55)</f>
        <v>63.55</v>
      </c>
      <c r="K347" s="17">
        <f>IFERROR(__xludf.DUMMYFUNCTION("INDEX(GOOGLEFINANCE(A347, ""close"", $K$1, $K$1), 2, 2)"),61.8)</f>
        <v>61.8</v>
      </c>
      <c r="L347" s="20">
        <f t="shared" si="1"/>
        <v>-2.753737215</v>
      </c>
      <c r="M347" s="18">
        <f t="shared" si="2"/>
        <v>-27.53737215</v>
      </c>
      <c r="N347" s="18" t="str">
        <f t="shared" si="3"/>
        <v>Put Spread</v>
      </c>
      <c r="O347" s="18" t="str">
        <f t="shared" si="4"/>
        <v>No</v>
      </c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</row>
    <row r="348">
      <c r="A348" s="13" t="s">
        <v>371</v>
      </c>
      <c r="B348" s="14" t="s">
        <v>18</v>
      </c>
      <c r="C348" s="15">
        <v>183.94</v>
      </c>
      <c r="D348" s="13" t="s">
        <v>19</v>
      </c>
      <c r="E348" s="15">
        <v>171.88</v>
      </c>
      <c r="F348" s="15">
        <v>2.0</v>
      </c>
      <c r="G348" s="15">
        <v>2.0</v>
      </c>
      <c r="H348" s="15">
        <v>5.0</v>
      </c>
      <c r="I348" s="16">
        <v>0.0</v>
      </c>
      <c r="J348" s="17">
        <f>IFERROR(__xludf.DUMMYFUNCTION("INDEX(GOOGLEFINANCE(A348, ""open"", $J$1, $J$1), 2, 2)"),177.08)</f>
        <v>177.08</v>
      </c>
      <c r="K348" s="17">
        <f>IFERROR(__xludf.DUMMYFUNCTION("INDEX(GOOGLEFINANCE(A348, ""close"", $K$1, $K$1), 2, 2)"),172.21)</f>
        <v>172.21</v>
      </c>
      <c r="L348" s="8">
        <f t="shared" si="1"/>
        <v>-2.750169415</v>
      </c>
      <c r="M348" s="18">
        <f t="shared" si="2"/>
        <v>-27.50169415</v>
      </c>
      <c r="N348" s="18" t="str">
        <f t="shared" si="3"/>
        <v>Put Spread</v>
      </c>
      <c r="O348" s="18" t="str">
        <f t="shared" si="4"/>
        <v>Success</v>
      </c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</row>
    <row r="349">
      <c r="A349" s="13" t="s">
        <v>372</v>
      </c>
      <c r="B349" s="14" t="s">
        <v>18</v>
      </c>
      <c r="C349" s="15">
        <v>32.36</v>
      </c>
      <c r="D349" s="13" t="s">
        <v>19</v>
      </c>
      <c r="E349" s="15">
        <v>27.5</v>
      </c>
      <c r="F349" s="15">
        <v>5.0</v>
      </c>
      <c r="G349" s="15">
        <v>2.0</v>
      </c>
      <c r="H349" s="15">
        <v>4.0</v>
      </c>
      <c r="I349" s="16">
        <v>0.0</v>
      </c>
      <c r="J349" s="17">
        <f>IFERROR(__xludf.DUMMYFUNCTION("INDEX(GOOGLEFINANCE(A349, ""open"", $J$1, $J$1), 2, 2)"),30.31)</f>
        <v>30.31</v>
      </c>
      <c r="K349" s="17">
        <f>IFERROR(__xludf.DUMMYFUNCTION("INDEX(GOOGLEFINANCE(A349, ""close"", $K$1, $K$1), 2, 2)"),29.48)</f>
        <v>29.48</v>
      </c>
      <c r="L349" s="8">
        <f t="shared" si="1"/>
        <v>-2.738370175</v>
      </c>
      <c r="M349" s="18">
        <f t="shared" si="2"/>
        <v>-27.38370175</v>
      </c>
      <c r="N349" s="18" t="str">
        <f t="shared" si="3"/>
        <v>Put Spread</v>
      </c>
      <c r="O349" s="18" t="str">
        <f t="shared" si="4"/>
        <v>Success</v>
      </c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</row>
    <row r="350">
      <c r="A350" s="13" t="s">
        <v>373</v>
      </c>
      <c r="B350" s="14" t="s">
        <v>18</v>
      </c>
      <c r="C350" s="15">
        <v>27.34</v>
      </c>
      <c r="D350" s="13" t="s">
        <v>19</v>
      </c>
      <c r="E350" s="15">
        <v>24.4</v>
      </c>
      <c r="F350" s="15">
        <v>2.0</v>
      </c>
      <c r="G350" s="15">
        <v>4.0</v>
      </c>
      <c r="H350" s="15">
        <v>1.0</v>
      </c>
      <c r="I350" s="16">
        <v>2.73956810408089</v>
      </c>
      <c r="J350" s="17">
        <f>IFERROR(__xludf.DUMMYFUNCTION("INDEX(GOOGLEFINANCE(A350, ""open"", $J$1, $J$1), 2, 2)"),25.57)</f>
        <v>25.57</v>
      </c>
      <c r="K350" s="17">
        <f>IFERROR(__xludf.DUMMYFUNCTION("INDEX(GOOGLEFINANCE(A350, ""close"", $K$1, $K$1), 2, 2)"),24.87)</f>
        <v>24.87</v>
      </c>
      <c r="L350" s="8">
        <f t="shared" si="1"/>
        <v>-2.737583105</v>
      </c>
      <c r="M350" s="18">
        <f t="shared" si="2"/>
        <v>-27.37583105</v>
      </c>
      <c r="N350" s="18" t="str">
        <f t="shared" si="3"/>
        <v>Put Spread</v>
      </c>
      <c r="O350" s="18" t="str">
        <f t="shared" si="4"/>
        <v>Success</v>
      </c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</row>
    <row r="351">
      <c r="A351" s="13" t="s">
        <v>374</v>
      </c>
      <c r="B351" s="14" t="s">
        <v>18</v>
      </c>
      <c r="C351" s="15">
        <v>41.03</v>
      </c>
      <c r="D351" s="13" t="s">
        <v>19</v>
      </c>
      <c r="E351" s="15">
        <v>36.07</v>
      </c>
      <c r="F351" s="15">
        <v>4.0</v>
      </c>
      <c r="G351" s="15">
        <v>4.0</v>
      </c>
      <c r="H351" s="15">
        <v>4.0</v>
      </c>
      <c r="I351" s="16">
        <v>-1.0955449</v>
      </c>
      <c r="J351" s="17">
        <f>IFERROR(__xludf.DUMMYFUNCTION("INDEX(GOOGLEFINANCE(A351, ""open"", $J$1, $J$1), 2, 2)"),38.54)</f>
        <v>38.54</v>
      </c>
      <c r="K351" s="17">
        <f>IFERROR(__xludf.DUMMYFUNCTION("INDEX(GOOGLEFINANCE(A351, ""close"", $K$1, $K$1), 2, 2)"),37.49)</f>
        <v>37.49</v>
      </c>
      <c r="L351" s="8">
        <f t="shared" si="1"/>
        <v>-2.724442138</v>
      </c>
      <c r="M351" s="18">
        <f t="shared" si="2"/>
        <v>-27.24442138</v>
      </c>
      <c r="N351" s="18" t="str">
        <f t="shared" si="3"/>
        <v>Put Spread</v>
      </c>
      <c r="O351" s="18" t="str">
        <f t="shared" si="4"/>
        <v>Success</v>
      </c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</row>
    <row r="352">
      <c r="A352" s="13" t="s">
        <v>375</v>
      </c>
      <c r="B352" s="14" t="s">
        <v>18</v>
      </c>
      <c r="C352" s="15">
        <v>29.85</v>
      </c>
      <c r="D352" s="13" t="s">
        <v>19</v>
      </c>
      <c r="E352" s="15">
        <v>28.21</v>
      </c>
      <c r="F352" s="15">
        <v>5.0</v>
      </c>
      <c r="G352" s="15">
        <v>2.0</v>
      </c>
      <c r="H352" s="15">
        <v>5.0</v>
      </c>
      <c r="I352" s="16">
        <v>-0.9990004</v>
      </c>
      <c r="J352" s="17">
        <f>IFERROR(__xludf.DUMMYFUNCTION("INDEX(GOOGLEFINANCE(A352, ""open"", $J$1, $J$1), 2, 2)"),29.07)</f>
        <v>29.07</v>
      </c>
      <c r="K352" s="17">
        <f>IFERROR(__xludf.DUMMYFUNCTION("INDEX(GOOGLEFINANCE(A352, ""close"", $K$1, $K$1), 2, 2)"),28.28)</f>
        <v>28.28</v>
      </c>
      <c r="L352" s="8">
        <f t="shared" si="1"/>
        <v>-2.717578259</v>
      </c>
      <c r="M352" s="18">
        <f t="shared" si="2"/>
        <v>-27.17578259</v>
      </c>
      <c r="N352" s="18" t="str">
        <f t="shared" si="3"/>
        <v>Put Spread</v>
      </c>
      <c r="O352" s="18" t="str">
        <f t="shared" si="4"/>
        <v>Success</v>
      </c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</row>
    <row r="353">
      <c r="A353" s="13" t="s">
        <v>376</v>
      </c>
      <c r="B353" s="14" t="s">
        <v>18</v>
      </c>
      <c r="C353" s="15">
        <v>4.83</v>
      </c>
      <c r="D353" s="13" t="s">
        <v>19</v>
      </c>
      <c r="E353" s="15">
        <v>4.09</v>
      </c>
      <c r="F353" s="15">
        <v>5.0</v>
      </c>
      <c r="G353" s="15">
        <v>1.0</v>
      </c>
      <c r="H353" s="15">
        <v>0.0</v>
      </c>
      <c r="I353" s="16">
        <v>0.0</v>
      </c>
      <c r="J353" s="17">
        <f>IFERROR(__xludf.DUMMYFUNCTION("INDEX(GOOGLEFINANCE(A353, ""open"", $J$1, $J$1), 2, 2)"),4.42)</f>
        <v>4.42</v>
      </c>
      <c r="K353" s="17">
        <f>IFERROR(__xludf.DUMMYFUNCTION("INDEX(GOOGLEFINANCE(A353, ""close"", $K$1, $K$1), 2, 2)"),4.3)</f>
        <v>4.3</v>
      </c>
      <c r="L353" s="20">
        <f t="shared" si="1"/>
        <v>-2.714932127</v>
      </c>
      <c r="M353" s="18">
        <f t="shared" si="2"/>
        <v>-27.14932127</v>
      </c>
      <c r="N353" s="18" t="str">
        <f t="shared" si="3"/>
        <v>Put Spread</v>
      </c>
      <c r="O353" s="18" t="str">
        <f t="shared" si="4"/>
        <v>Success</v>
      </c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</row>
    <row r="354">
      <c r="A354" s="13" t="s">
        <v>377</v>
      </c>
      <c r="B354" s="14" t="s">
        <v>18</v>
      </c>
      <c r="C354" s="15">
        <v>138.62</v>
      </c>
      <c r="D354" s="13" t="s">
        <v>19</v>
      </c>
      <c r="E354" s="15">
        <v>134.58</v>
      </c>
      <c r="F354" s="15">
        <v>5.0</v>
      </c>
      <c r="G354" s="15">
        <v>1.0</v>
      </c>
      <c r="H354" s="15">
        <v>4.0</v>
      </c>
      <c r="I354" s="16">
        <v>0.0</v>
      </c>
      <c r="J354" s="17">
        <f>IFERROR(__xludf.DUMMYFUNCTION("INDEX(GOOGLEFINANCE(A354, ""open"", $J$1, $J$1), 2, 2)"),136.59)</f>
        <v>136.59</v>
      </c>
      <c r="K354" s="17">
        <f>IFERROR(__xludf.DUMMYFUNCTION("INDEX(GOOGLEFINANCE(A354, ""close"", $K$1, $K$1), 2, 2)"),132.9)</f>
        <v>132.9</v>
      </c>
      <c r="L354" s="8">
        <f t="shared" si="1"/>
        <v>-2.701515484</v>
      </c>
      <c r="M354" s="18">
        <f t="shared" si="2"/>
        <v>-27.01515484</v>
      </c>
      <c r="N354" s="18" t="str">
        <f t="shared" si="3"/>
        <v>Put Spread</v>
      </c>
      <c r="O354" s="18" t="str">
        <f t="shared" si="4"/>
        <v>No</v>
      </c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</row>
    <row r="355">
      <c r="A355" s="13" t="s">
        <v>378</v>
      </c>
      <c r="B355" s="14" t="s">
        <v>18</v>
      </c>
      <c r="C355" s="15">
        <v>71.19</v>
      </c>
      <c r="D355" s="13" t="s">
        <v>19</v>
      </c>
      <c r="E355" s="15">
        <v>64.45</v>
      </c>
      <c r="F355" s="15">
        <v>4.0</v>
      </c>
      <c r="G355" s="15">
        <v>1.0</v>
      </c>
      <c r="H355" s="15">
        <v>3.0</v>
      </c>
      <c r="I355" s="16">
        <v>1.17955693590029</v>
      </c>
      <c r="J355" s="17">
        <f>IFERROR(__xludf.DUMMYFUNCTION("INDEX(GOOGLEFINANCE(A355, ""open"", $J$1, $J$1), 2, 2)"),66.83)</f>
        <v>66.83</v>
      </c>
      <c r="K355" s="17">
        <f>IFERROR(__xludf.DUMMYFUNCTION("INDEX(GOOGLEFINANCE(A355, ""close"", $K$1, $K$1), 2, 2)"),65.03)</f>
        <v>65.03</v>
      </c>
      <c r="L355" s="8">
        <f t="shared" si="1"/>
        <v>-2.693401167</v>
      </c>
      <c r="M355" s="18">
        <f t="shared" si="2"/>
        <v>-26.93401167</v>
      </c>
      <c r="N355" s="18" t="str">
        <f t="shared" si="3"/>
        <v>Put Spread</v>
      </c>
      <c r="O355" s="18" t="str">
        <f t="shared" si="4"/>
        <v>Success</v>
      </c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</row>
    <row r="356">
      <c r="A356" s="13" t="s">
        <v>379</v>
      </c>
      <c r="B356" s="14" t="s">
        <v>18</v>
      </c>
      <c r="C356" s="15">
        <v>319.35</v>
      </c>
      <c r="D356" s="13" t="s">
        <v>19</v>
      </c>
      <c r="E356" s="15">
        <v>308.03</v>
      </c>
      <c r="F356" s="15">
        <v>5.0</v>
      </c>
      <c r="G356" s="15">
        <v>1.0</v>
      </c>
      <c r="H356" s="15">
        <v>5.0</v>
      </c>
      <c r="I356" s="16">
        <v>0.0</v>
      </c>
      <c r="J356" s="17">
        <f>IFERROR(__xludf.DUMMYFUNCTION("INDEX(GOOGLEFINANCE(A356, ""open"", $J$1, $J$1), 2, 2)"),314.2)</f>
        <v>314.2</v>
      </c>
      <c r="K356" s="17">
        <f>IFERROR(__xludf.DUMMYFUNCTION("INDEX(GOOGLEFINANCE(A356, ""close"", $K$1, $K$1), 2, 2)"),305.74)</f>
        <v>305.74</v>
      </c>
      <c r="L356" s="8">
        <f t="shared" si="1"/>
        <v>-2.692552514</v>
      </c>
      <c r="M356" s="18">
        <f t="shared" si="2"/>
        <v>-26.92552514</v>
      </c>
      <c r="N356" s="18" t="str">
        <f t="shared" si="3"/>
        <v>Put Spread</v>
      </c>
      <c r="O356" s="18" t="str">
        <f t="shared" si="4"/>
        <v>No</v>
      </c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</row>
    <row r="357">
      <c r="A357" s="13" t="s">
        <v>380</v>
      </c>
      <c r="B357" s="14" t="s">
        <v>18</v>
      </c>
      <c r="C357" s="15">
        <v>45.32</v>
      </c>
      <c r="D357" s="13" t="s">
        <v>19</v>
      </c>
      <c r="E357" s="15">
        <v>41.04</v>
      </c>
      <c r="F357" s="15">
        <v>5.0</v>
      </c>
      <c r="G357" s="15">
        <v>3.0</v>
      </c>
      <c r="H357" s="15">
        <v>3.0</v>
      </c>
      <c r="I357" s="16">
        <v>3.38179391669158</v>
      </c>
      <c r="J357" s="17">
        <f>IFERROR(__xludf.DUMMYFUNCTION("INDEX(GOOGLEFINANCE(A357, ""open"", $J$1, $J$1), 2, 2)"),43.53)</f>
        <v>43.53</v>
      </c>
      <c r="K357" s="17">
        <f>IFERROR(__xludf.DUMMYFUNCTION("INDEX(GOOGLEFINANCE(A357, ""close"", $K$1, $K$1), 2, 2)"),42.36)</f>
        <v>42.36</v>
      </c>
      <c r="L357" s="8">
        <f t="shared" si="1"/>
        <v>-2.687801516</v>
      </c>
      <c r="M357" s="18">
        <f t="shared" si="2"/>
        <v>-26.87801516</v>
      </c>
      <c r="N357" s="18" t="str">
        <f t="shared" si="3"/>
        <v>Put Spread</v>
      </c>
      <c r="O357" s="18" t="str">
        <f t="shared" si="4"/>
        <v>Success</v>
      </c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</row>
    <row r="358">
      <c r="A358" s="13" t="s">
        <v>381</v>
      </c>
      <c r="B358" s="14" t="s">
        <v>18</v>
      </c>
      <c r="C358" s="15">
        <v>62.82</v>
      </c>
      <c r="D358" s="13" t="s">
        <v>19</v>
      </c>
      <c r="E358" s="15">
        <v>60.04</v>
      </c>
      <c r="F358" s="15">
        <v>5.0</v>
      </c>
      <c r="G358" s="15">
        <v>2.0</v>
      </c>
      <c r="H358" s="15">
        <v>4.0</v>
      </c>
      <c r="I358" s="16">
        <v>-0.8071767</v>
      </c>
      <c r="J358" s="17">
        <f>IFERROR(__xludf.DUMMYFUNCTION("INDEX(GOOGLEFINANCE(A358, ""open"", $J$1, $J$1), 2, 2)"),61.3)</f>
        <v>61.3</v>
      </c>
      <c r="K358" s="17">
        <f>IFERROR(__xludf.DUMMYFUNCTION("INDEX(GOOGLEFINANCE(A358, ""close"", $K$1, $K$1), 2, 2)"),59.66)</f>
        <v>59.66</v>
      </c>
      <c r="L358" s="8">
        <f t="shared" si="1"/>
        <v>-2.675367047</v>
      </c>
      <c r="M358" s="18">
        <f t="shared" si="2"/>
        <v>-26.75367047</v>
      </c>
      <c r="N358" s="18" t="str">
        <f t="shared" si="3"/>
        <v>Put Spread</v>
      </c>
      <c r="O358" s="18" t="str">
        <f t="shared" si="4"/>
        <v>No</v>
      </c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</row>
    <row r="359">
      <c r="A359" s="13" t="s">
        <v>382</v>
      </c>
      <c r="B359" s="14" t="s">
        <v>18</v>
      </c>
      <c r="C359" s="15">
        <v>88.51</v>
      </c>
      <c r="D359" s="13" t="s">
        <v>19</v>
      </c>
      <c r="E359" s="15">
        <v>83.37</v>
      </c>
      <c r="F359" s="15">
        <v>4.0</v>
      </c>
      <c r="G359" s="15">
        <v>2.0</v>
      </c>
      <c r="H359" s="15">
        <v>5.0</v>
      </c>
      <c r="I359" s="16">
        <v>0.0</v>
      </c>
      <c r="J359" s="17">
        <f>IFERROR(__xludf.DUMMYFUNCTION("INDEX(GOOGLEFINANCE(A359, ""open"", $J$1, $J$1), 2, 2)"),85.94)</f>
        <v>85.94</v>
      </c>
      <c r="K359" s="17">
        <f>IFERROR(__xludf.DUMMYFUNCTION("INDEX(GOOGLEFINANCE(A359, ""close"", $K$1, $K$1), 2, 2)"),83.65)</f>
        <v>83.65</v>
      </c>
      <c r="L359" s="8">
        <f t="shared" si="1"/>
        <v>-2.664649756</v>
      </c>
      <c r="M359" s="18">
        <f t="shared" si="2"/>
        <v>-26.64649756</v>
      </c>
      <c r="N359" s="18" t="str">
        <f t="shared" si="3"/>
        <v>Put Spread</v>
      </c>
      <c r="O359" s="18" t="str">
        <f t="shared" si="4"/>
        <v>Success</v>
      </c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</row>
    <row r="360">
      <c r="A360" s="13" t="s">
        <v>383</v>
      </c>
      <c r="B360" s="14" t="s">
        <v>18</v>
      </c>
      <c r="C360" s="15">
        <v>61.04</v>
      </c>
      <c r="D360" s="13" t="s">
        <v>19</v>
      </c>
      <c r="E360" s="15">
        <v>56.98</v>
      </c>
      <c r="F360" s="15">
        <v>5.0</v>
      </c>
      <c r="G360" s="15">
        <v>2.0</v>
      </c>
      <c r="H360" s="15">
        <v>4.0</v>
      </c>
      <c r="I360" s="16">
        <v>0.0</v>
      </c>
      <c r="J360" s="17">
        <f>IFERROR(__xludf.DUMMYFUNCTION("INDEX(GOOGLEFINANCE(A360, ""open"", $J$1, $J$1), 2, 2)"),58.7)</f>
        <v>58.7</v>
      </c>
      <c r="K360" s="17">
        <f>IFERROR(__xludf.DUMMYFUNCTION("INDEX(GOOGLEFINANCE(A360, ""close"", $K$1, $K$1), 2, 2)"),57.14)</f>
        <v>57.14</v>
      </c>
      <c r="L360" s="8">
        <f t="shared" si="1"/>
        <v>-2.65758092</v>
      </c>
      <c r="M360" s="18">
        <f t="shared" si="2"/>
        <v>-26.5758092</v>
      </c>
      <c r="N360" s="18" t="str">
        <f t="shared" si="3"/>
        <v>Put Spread</v>
      </c>
      <c r="O360" s="18" t="str">
        <f t="shared" si="4"/>
        <v>Success</v>
      </c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</row>
    <row r="361">
      <c r="A361" s="13" t="s">
        <v>384</v>
      </c>
      <c r="B361" s="14" t="s">
        <v>18</v>
      </c>
      <c r="C361" s="15">
        <v>293.62</v>
      </c>
      <c r="D361" s="13" t="s">
        <v>19</v>
      </c>
      <c r="E361" s="15">
        <v>271.14</v>
      </c>
      <c r="F361" s="15">
        <v>4.0</v>
      </c>
      <c r="G361" s="15">
        <v>3.0</v>
      </c>
      <c r="H361" s="15">
        <v>5.0</v>
      </c>
      <c r="I361" s="16">
        <v>0.0</v>
      </c>
      <c r="J361" s="17">
        <f>IFERROR(__xludf.DUMMYFUNCTION("INDEX(GOOGLEFINANCE(A361, ""open"", $J$1, $J$1), 2, 2)"),282.35)</f>
        <v>282.35</v>
      </c>
      <c r="K361" s="17">
        <f>IFERROR(__xludf.DUMMYFUNCTION("INDEX(GOOGLEFINANCE(A361, ""close"", $K$1, $K$1), 2, 2)"),274.85)</f>
        <v>274.85</v>
      </c>
      <c r="L361" s="20">
        <f t="shared" si="1"/>
        <v>-2.65627767</v>
      </c>
      <c r="M361" s="18">
        <f t="shared" si="2"/>
        <v>-26.5627767</v>
      </c>
      <c r="N361" s="18" t="str">
        <f t="shared" si="3"/>
        <v>Put Spread</v>
      </c>
      <c r="O361" s="18" t="str">
        <f t="shared" si="4"/>
        <v>Success</v>
      </c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</row>
    <row r="362">
      <c r="A362" s="13" t="s">
        <v>385</v>
      </c>
      <c r="B362" s="14" t="s">
        <v>18</v>
      </c>
      <c r="C362" s="15">
        <v>317.38</v>
      </c>
      <c r="D362" s="13" t="s">
        <v>19</v>
      </c>
      <c r="E362" s="15">
        <v>299.88</v>
      </c>
      <c r="F362" s="15">
        <v>3.0</v>
      </c>
      <c r="G362" s="15">
        <v>2.0</v>
      </c>
      <c r="H362" s="15">
        <v>5.0</v>
      </c>
      <c r="I362" s="16">
        <v>0.0</v>
      </c>
      <c r="J362" s="17">
        <f>IFERROR(__xludf.DUMMYFUNCTION("INDEX(GOOGLEFINANCE(A362, ""open"", $J$1, $J$1), 2, 2)"),308.6)</f>
        <v>308.6</v>
      </c>
      <c r="K362" s="17">
        <f>IFERROR(__xludf.DUMMYFUNCTION("INDEX(GOOGLEFINANCE(A362, ""close"", $K$1, $K$1), 2, 2)"),309.5)</f>
        <v>309.5</v>
      </c>
      <c r="L362" s="8">
        <f t="shared" si="1"/>
        <v>0.291639663</v>
      </c>
      <c r="M362" s="18">
        <f t="shared" si="2"/>
        <v>2.91639663</v>
      </c>
      <c r="N362" s="18" t="str">
        <f t="shared" si="3"/>
        <v>Put Spread</v>
      </c>
      <c r="O362" s="18" t="str">
        <f t="shared" si="4"/>
        <v>Success</v>
      </c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</row>
    <row r="363">
      <c r="A363" s="13" t="s">
        <v>386</v>
      </c>
      <c r="B363" s="14" t="s">
        <v>18</v>
      </c>
      <c r="C363" s="15">
        <v>102.35</v>
      </c>
      <c r="D363" s="13" t="s">
        <v>19</v>
      </c>
      <c r="E363" s="15">
        <v>91.57</v>
      </c>
      <c r="F363" s="15">
        <v>2.0</v>
      </c>
      <c r="G363" s="15">
        <v>2.0</v>
      </c>
      <c r="H363" s="15">
        <v>3.0</v>
      </c>
      <c r="I363" s="16">
        <v>0.0</v>
      </c>
      <c r="J363" s="17">
        <f>IFERROR(__xludf.DUMMYFUNCTION("INDEX(GOOGLEFINANCE(A363, ""open"", $J$1, $J$1), 2, 2)"),98.98)</f>
        <v>98.98</v>
      </c>
      <c r="K363" s="17">
        <f>IFERROR(__xludf.DUMMYFUNCTION("INDEX(GOOGLEFINANCE(A363, ""close"", $K$1, $K$1), 2, 2)"),96.37)</f>
        <v>96.37</v>
      </c>
      <c r="L363" s="8">
        <f t="shared" si="1"/>
        <v>-2.636896343</v>
      </c>
      <c r="M363" s="18">
        <f t="shared" si="2"/>
        <v>-26.36896343</v>
      </c>
      <c r="N363" s="18" t="str">
        <f t="shared" si="3"/>
        <v>Put Spread</v>
      </c>
      <c r="O363" s="18" t="str">
        <f t="shared" si="4"/>
        <v>Success</v>
      </c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</row>
    <row r="364">
      <c r="A364" s="13" t="s">
        <v>387</v>
      </c>
      <c r="B364" s="14" t="s">
        <v>18</v>
      </c>
      <c r="C364" s="15">
        <v>220.01</v>
      </c>
      <c r="D364" s="13" t="s">
        <v>19</v>
      </c>
      <c r="E364" s="15">
        <v>205.69</v>
      </c>
      <c r="F364" s="15">
        <v>3.0</v>
      </c>
      <c r="G364" s="15">
        <v>1.0</v>
      </c>
      <c r="H364" s="15">
        <v>3.0</v>
      </c>
      <c r="I364" s="16">
        <v>0.0</v>
      </c>
      <c r="J364" s="17">
        <f>IFERROR(__xludf.DUMMYFUNCTION("INDEX(GOOGLEFINANCE(A364, ""open"", $J$1, $J$1), 2, 2)"),213.05)</f>
        <v>213.05</v>
      </c>
      <c r="K364" s="17">
        <f>IFERROR(__xludf.DUMMYFUNCTION("INDEX(GOOGLEFINANCE(A364, ""close"", $K$1, $K$1), 2, 2)"),207.47)</f>
        <v>207.47</v>
      </c>
      <c r="L364" s="20">
        <f t="shared" si="1"/>
        <v>-2.619103497</v>
      </c>
      <c r="M364" s="18">
        <f t="shared" si="2"/>
        <v>-26.19103497</v>
      </c>
      <c r="N364" s="18" t="str">
        <f t="shared" si="3"/>
        <v>Put Spread</v>
      </c>
      <c r="O364" s="18" t="str">
        <f t="shared" si="4"/>
        <v>Success</v>
      </c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</row>
    <row r="365">
      <c r="A365" s="13" t="s">
        <v>388</v>
      </c>
      <c r="B365" s="14" t="s">
        <v>18</v>
      </c>
      <c r="C365" s="15">
        <v>82.12</v>
      </c>
      <c r="D365" s="13" t="s">
        <v>19</v>
      </c>
      <c r="E365" s="15">
        <v>72.34</v>
      </c>
      <c r="F365" s="15">
        <v>2.0</v>
      </c>
      <c r="G365" s="15">
        <v>2.0</v>
      </c>
      <c r="H365" s="15">
        <v>5.0</v>
      </c>
      <c r="I365" s="16">
        <v>0.0</v>
      </c>
      <c r="J365" s="17">
        <f>IFERROR(__xludf.DUMMYFUNCTION("INDEX(GOOGLEFINANCE(A365, ""open"", $J$1, $J$1), 2, 2)"),77.51)</f>
        <v>77.51</v>
      </c>
      <c r="K365" s="17">
        <f>IFERROR(__xludf.DUMMYFUNCTION("INDEX(GOOGLEFINANCE(A365, ""close"", $K$1, $K$1), 2, 2)"),75.5)</f>
        <v>75.5</v>
      </c>
      <c r="L365" s="8">
        <f t="shared" si="1"/>
        <v>-2.593213779</v>
      </c>
      <c r="M365" s="18">
        <f t="shared" si="2"/>
        <v>-25.93213779</v>
      </c>
      <c r="N365" s="18" t="str">
        <f t="shared" si="3"/>
        <v>Put Spread</v>
      </c>
      <c r="O365" s="18" t="str">
        <f t="shared" si="4"/>
        <v>Success</v>
      </c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</row>
    <row r="366">
      <c r="A366" s="13" t="s">
        <v>389</v>
      </c>
      <c r="B366" s="14" t="s">
        <v>18</v>
      </c>
      <c r="C366" s="15">
        <v>70.57</v>
      </c>
      <c r="D366" s="13" t="s">
        <v>19</v>
      </c>
      <c r="E366" s="15">
        <v>65.41</v>
      </c>
      <c r="F366" s="15">
        <v>5.0</v>
      </c>
      <c r="G366" s="15">
        <v>1.0</v>
      </c>
      <c r="H366" s="15">
        <v>4.0</v>
      </c>
      <c r="I366" s="16">
        <v>0.0</v>
      </c>
      <c r="J366" s="17">
        <f>IFERROR(__xludf.DUMMYFUNCTION("INDEX(GOOGLEFINANCE(A366, ""open"", $J$1, $J$1), 2, 2)"),68.4)</f>
        <v>68.4</v>
      </c>
      <c r="K366" s="17">
        <f>IFERROR(__xludf.DUMMYFUNCTION("INDEX(GOOGLEFINANCE(A366, ""close"", $K$1, $K$1), 2, 2)"),66.61)</f>
        <v>66.61</v>
      </c>
      <c r="L366" s="8">
        <f t="shared" si="1"/>
        <v>-2.616959064</v>
      </c>
      <c r="M366" s="18">
        <f t="shared" si="2"/>
        <v>-26.16959064</v>
      </c>
      <c r="N366" s="18" t="str">
        <f t="shared" si="3"/>
        <v>Put Spread</v>
      </c>
      <c r="O366" s="18" t="str">
        <f t="shared" si="4"/>
        <v>Success</v>
      </c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</row>
    <row r="367">
      <c r="A367" s="13" t="s">
        <v>390</v>
      </c>
      <c r="B367" s="14" t="s">
        <v>18</v>
      </c>
      <c r="C367" s="15">
        <v>86.52</v>
      </c>
      <c r="D367" s="13" t="s">
        <v>19</v>
      </c>
      <c r="E367" s="15">
        <v>83.0</v>
      </c>
      <c r="F367" s="15">
        <v>5.0</v>
      </c>
      <c r="G367" s="15">
        <v>3.0</v>
      </c>
      <c r="H367" s="15">
        <v>5.0</v>
      </c>
      <c r="I367" s="16">
        <v>0.0</v>
      </c>
      <c r="J367" s="17">
        <f>IFERROR(__xludf.DUMMYFUNCTION("INDEX(GOOGLEFINANCE(A367, ""open"", $J$1, $J$1), 2, 2)"),83.89)</f>
        <v>83.89</v>
      </c>
      <c r="K367" s="17">
        <f>IFERROR(__xludf.DUMMYFUNCTION("INDEX(GOOGLEFINANCE(A367, ""close"", $K$1, $K$1), 2, 2)"),81.7)</f>
        <v>81.7</v>
      </c>
      <c r="L367" s="8">
        <f t="shared" si="1"/>
        <v>-2.61056145</v>
      </c>
      <c r="M367" s="18">
        <f t="shared" si="2"/>
        <v>-26.1056145</v>
      </c>
      <c r="N367" s="18" t="str">
        <f t="shared" si="3"/>
        <v>Put Spread</v>
      </c>
      <c r="O367" s="18" t="str">
        <f t="shared" si="4"/>
        <v>No</v>
      </c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</row>
    <row r="368">
      <c r="A368" s="13" t="s">
        <v>391</v>
      </c>
      <c r="B368" s="14" t="s">
        <v>18</v>
      </c>
      <c r="C368" s="15">
        <v>142.55</v>
      </c>
      <c r="D368" s="13" t="s">
        <v>19</v>
      </c>
      <c r="E368" s="15">
        <v>136.09</v>
      </c>
      <c r="F368" s="15">
        <v>4.0</v>
      </c>
      <c r="G368" s="15">
        <v>2.0</v>
      </c>
      <c r="H368" s="15">
        <v>5.0</v>
      </c>
      <c r="I368" s="16">
        <v>0.0</v>
      </c>
      <c r="J368" s="17">
        <f>IFERROR(__xludf.DUMMYFUNCTION("INDEX(GOOGLEFINANCE(A368, ""open"", $J$1, $J$1), 2, 2)"),139.44)</f>
        <v>139.44</v>
      </c>
      <c r="K368" s="17">
        <f>IFERROR(__xludf.DUMMYFUNCTION("INDEX(GOOGLEFINANCE(A368, ""close"", $K$1, $K$1), 2, 2)"),135.8)</f>
        <v>135.8</v>
      </c>
      <c r="L368" s="8">
        <f t="shared" si="1"/>
        <v>-2.610441767</v>
      </c>
      <c r="M368" s="18">
        <f t="shared" si="2"/>
        <v>-26.10441767</v>
      </c>
      <c r="N368" s="18" t="str">
        <f t="shared" si="3"/>
        <v>Put Spread</v>
      </c>
      <c r="O368" s="18" t="str">
        <f t="shared" si="4"/>
        <v>No</v>
      </c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</row>
    <row r="369">
      <c r="A369" s="13" t="s">
        <v>392</v>
      </c>
      <c r="B369" s="14" t="s">
        <v>18</v>
      </c>
      <c r="C369" s="15">
        <v>36.55</v>
      </c>
      <c r="D369" s="13" t="s">
        <v>19</v>
      </c>
      <c r="E369" s="15">
        <v>32.57</v>
      </c>
      <c r="F369" s="15">
        <v>5.0</v>
      </c>
      <c r="G369" s="15">
        <v>3.0</v>
      </c>
      <c r="H369" s="15">
        <v>4.0</v>
      </c>
      <c r="I369" s="16">
        <v>0.0</v>
      </c>
      <c r="J369" s="17">
        <f>IFERROR(__xludf.DUMMYFUNCTION("INDEX(GOOGLEFINANCE(A369, ""open"", $J$1, $J$1), 2, 2)"),34.5)</f>
        <v>34.5</v>
      </c>
      <c r="K369" s="17">
        <f>IFERROR(__xludf.DUMMYFUNCTION("INDEX(GOOGLEFINANCE(A369, ""close"", $K$1, $K$1), 2, 2)"),33.6)</f>
        <v>33.6</v>
      </c>
      <c r="L369" s="8">
        <f t="shared" si="1"/>
        <v>-2.608695652</v>
      </c>
      <c r="M369" s="18">
        <f t="shared" si="2"/>
        <v>-26.08695652</v>
      </c>
      <c r="N369" s="18" t="str">
        <f t="shared" si="3"/>
        <v>Put Spread</v>
      </c>
      <c r="O369" s="18" t="str">
        <f t="shared" si="4"/>
        <v>Success</v>
      </c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</row>
    <row r="370">
      <c r="A370" s="13" t="s">
        <v>393</v>
      </c>
      <c r="B370" s="14" t="s">
        <v>18</v>
      </c>
      <c r="C370" s="15">
        <v>497.2</v>
      </c>
      <c r="D370" s="13" t="s">
        <v>19</v>
      </c>
      <c r="E370" s="15">
        <v>459.44</v>
      </c>
      <c r="F370" s="15">
        <v>5.0</v>
      </c>
      <c r="G370" s="15">
        <v>2.0</v>
      </c>
      <c r="H370" s="15">
        <v>4.0</v>
      </c>
      <c r="I370" s="16">
        <v>0.0</v>
      </c>
      <c r="J370" s="17">
        <f>IFERROR(__xludf.DUMMYFUNCTION("INDEX(GOOGLEFINANCE(A370, ""open"", $J$1, $J$1), 2, 2)"),475.44)</f>
        <v>475.44</v>
      </c>
      <c r="K370" s="17">
        <f>IFERROR(__xludf.DUMMYFUNCTION("INDEX(GOOGLEFINANCE(A370, ""close"", $K$1, $K$1), 2, 2)"),463.04)</f>
        <v>463.04</v>
      </c>
      <c r="L370" s="8">
        <f t="shared" si="1"/>
        <v>-2.608110382</v>
      </c>
      <c r="M370" s="18">
        <f t="shared" si="2"/>
        <v>-26.08110382</v>
      </c>
      <c r="N370" s="18" t="str">
        <f t="shared" si="3"/>
        <v>Put Spread</v>
      </c>
      <c r="O370" s="18" t="str">
        <f t="shared" si="4"/>
        <v>Success</v>
      </c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</row>
    <row r="371">
      <c r="A371" s="13" t="s">
        <v>394</v>
      </c>
      <c r="B371" s="14" t="s">
        <v>18</v>
      </c>
      <c r="C371" s="15">
        <v>173.15</v>
      </c>
      <c r="D371" s="13" t="s">
        <v>19</v>
      </c>
      <c r="E371" s="15">
        <v>158.05</v>
      </c>
      <c r="F371" s="15">
        <v>5.0</v>
      </c>
      <c r="G371" s="15">
        <v>2.0</v>
      </c>
      <c r="H371" s="15">
        <v>0.0</v>
      </c>
      <c r="I371" s="16">
        <v>0.0</v>
      </c>
      <c r="J371" s="17">
        <f>IFERROR(__xludf.DUMMYFUNCTION("INDEX(GOOGLEFINANCE(A371, ""open"", $J$1, $J$1), 2, 2)"),167.27)</f>
        <v>167.27</v>
      </c>
      <c r="K371" s="17">
        <f>IFERROR(__xludf.DUMMYFUNCTION("INDEX(GOOGLEFINANCE(A371, ""close"", $K$1, $K$1), 2, 2)"),162.92)</f>
        <v>162.92</v>
      </c>
      <c r="L371" s="8">
        <f t="shared" si="1"/>
        <v>-2.600585879</v>
      </c>
      <c r="M371" s="18">
        <f t="shared" si="2"/>
        <v>-26.00585879</v>
      </c>
      <c r="N371" s="18" t="str">
        <f t="shared" si="3"/>
        <v>Put Spread</v>
      </c>
      <c r="O371" s="18" t="str">
        <f t="shared" si="4"/>
        <v>Success</v>
      </c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</row>
    <row r="372">
      <c r="A372" s="13" t="s">
        <v>395</v>
      </c>
      <c r="B372" s="14" t="s">
        <v>18</v>
      </c>
      <c r="C372" s="15">
        <v>296.38</v>
      </c>
      <c r="D372" s="13" t="s">
        <v>19</v>
      </c>
      <c r="E372" s="15">
        <v>283.16</v>
      </c>
      <c r="F372" s="15">
        <v>2.0</v>
      </c>
      <c r="G372" s="15">
        <v>2.0</v>
      </c>
      <c r="H372" s="15">
        <v>5.0</v>
      </c>
      <c r="I372" s="16">
        <v>0.0</v>
      </c>
      <c r="J372" s="17">
        <f>IFERROR(__xludf.DUMMYFUNCTION("INDEX(GOOGLEFINANCE(A372, ""open"", $J$1, $J$1), 2, 2)"),289.43)</f>
        <v>289.43</v>
      </c>
      <c r="K372" s="17">
        <f>IFERROR(__xludf.DUMMYFUNCTION("INDEX(GOOGLEFINANCE(A372, ""close"", $K$1, $K$1), 2, 2)"),281.94)</f>
        <v>281.94</v>
      </c>
      <c r="L372" s="8">
        <f t="shared" si="1"/>
        <v>-2.587845075</v>
      </c>
      <c r="M372" s="18">
        <f t="shared" si="2"/>
        <v>-25.87845075</v>
      </c>
      <c r="N372" s="18" t="str">
        <f t="shared" si="3"/>
        <v>Put Spread</v>
      </c>
      <c r="O372" s="18" t="str">
        <f t="shared" si="4"/>
        <v>No</v>
      </c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</row>
    <row r="373">
      <c r="A373" s="13" t="s">
        <v>396</v>
      </c>
      <c r="B373" s="14" t="s">
        <v>18</v>
      </c>
      <c r="C373" s="15">
        <v>78.62</v>
      </c>
      <c r="D373" s="13" t="s">
        <v>19</v>
      </c>
      <c r="E373" s="15">
        <v>75.84</v>
      </c>
      <c r="F373" s="15">
        <v>2.0</v>
      </c>
      <c r="G373" s="15">
        <v>1.0</v>
      </c>
      <c r="H373" s="15">
        <v>5.0</v>
      </c>
      <c r="I373" s="16">
        <v>0.0</v>
      </c>
      <c r="J373" s="17">
        <f>IFERROR(__xludf.DUMMYFUNCTION("INDEX(GOOGLEFINANCE(A373, ""open"", $J$1, $J$1), 2, 2)"),77.32)</f>
        <v>77.32</v>
      </c>
      <c r="K373" s="17">
        <f>IFERROR(__xludf.DUMMYFUNCTION("INDEX(GOOGLEFINANCE(A373, ""close"", $K$1, $K$1), 2, 2)"),75.32)</f>
        <v>75.32</v>
      </c>
      <c r="L373" s="8">
        <f t="shared" si="1"/>
        <v>-2.586652871</v>
      </c>
      <c r="M373" s="18">
        <f t="shared" si="2"/>
        <v>-25.86652871</v>
      </c>
      <c r="N373" s="18" t="str">
        <f t="shared" si="3"/>
        <v>Put Spread</v>
      </c>
      <c r="O373" s="18" t="str">
        <f t="shared" si="4"/>
        <v>No</v>
      </c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</row>
    <row r="374">
      <c r="A374" s="13" t="s">
        <v>397</v>
      </c>
      <c r="B374" s="14" t="s">
        <v>18</v>
      </c>
      <c r="C374" s="15">
        <v>356.93</v>
      </c>
      <c r="D374" s="13" t="s">
        <v>19</v>
      </c>
      <c r="E374" s="15">
        <v>343.37</v>
      </c>
      <c r="F374" s="15">
        <v>4.0</v>
      </c>
      <c r="G374" s="15">
        <v>1.0</v>
      </c>
      <c r="H374" s="15">
        <v>5.0</v>
      </c>
      <c r="I374" s="16">
        <v>0.0</v>
      </c>
      <c r="J374" s="17">
        <f>IFERROR(__xludf.DUMMYFUNCTION("INDEX(GOOGLEFINANCE(A374, ""open"", $J$1, $J$1), 2, 2)"),350.61)</f>
        <v>350.61</v>
      </c>
      <c r="K374" s="17">
        <f>IFERROR(__xludf.DUMMYFUNCTION("INDEX(GOOGLEFINANCE(A374, ""close"", $K$1, $K$1), 2, 2)"),341.56)</f>
        <v>341.56</v>
      </c>
      <c r="L374" s="8">
        <f t="shared" si="1"/>
        <v>-2.581215596</v>
      </c>
      <c r="M374" s="18">
        <f t="shared" si="2"/>
        <v>-25.81215596</v>
      </c>
      <c r="N374" s="18" t="str">
        <f t="shared" si="3"/>
        <v>Put Spread</v>
      </c>
      <c r="O374" s="18" t="str">
        <f t="shared" si="4"/>
        <v>No</v>
      </c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</row>
    <row r="375">
      <c r="A375" s="13" t="s">
        <v>398</v>
      </c>
      <c r="B375" s="14" t="s">
        <v>18</v>
      </c>
      <c r="C375" s="15">
        <v>159.28</v>
      </c>
      <c r="D375" s="13" t="s">
        <v>19</v>
      </c>
      <c r="E375" s="15">
        <v>150.4</v>
      </c>
      <c r="F375" s="15">
        <v>4.0</v>
      </c>
      <c r="G375" s="15">
        <v>1.0</v>
      </c>
      <c r="H375" s="15">
        <v>4.0</v>
      </c>
      <c r="I375" s="16">
        <v>0.0</v>
      </c>
      <c r="J375" s="17">
        <f>IFERROR(__xludf.DUMMYFUNCTION("INDEX(GOOGLEFINANCE(A375, ""open"", $J$1, $J$1), 2, 2)"),155.4)</f>
        <v>155.4</v>
      </c>
      <c r="K375" s="17">
        <f>IFERROR(__xludf.DUMMYFUNCTION("INDEX(GOOGLEFINANCE(A375, ""close"", $K$1, $K$1), 2, 2)"),151.4)</f>
        <v>151.4</v>
      </c>
      <c r="L375" s="8">
        <f t="shared" si="1"/>
        <v>-2.574002574</v>
      </c>
      <c r="M375" s="18">
        <f t="shared" si="2"/>
        <v>-25.74002574</v>
      </c>
      <c r="N375" s="18" t="str">
        <f t="shared" si="3"/>
        <v>Put Spread</v>
      </c>
      <c r="O375" s="18" t="str">
        <f t="shared" si="4"/>
        <v>Success</v>
      </c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</row>
    <row r="376">
      <c r="A376" s="13" t="s">
        <v>399</v>
      </c>
      <c r="B376" s="14" t="s">
        <v>18</v>
      </c>
      <c r="C376" s="15">
        <v>14.54</v>
      </c>
      <c r="D376" s="13" t="s">
        <v>19</v>
      </c>
      <c r="E376" s="15">
        <v>13.02</v>
      </c>
      <c r="F376" s="15">
        <v>5.0</v>
      </c>
      <c r="G376" s="15">
        <v>3.0</v>
      </c>
      <c r="H376" s="15">
        <v>3.0</v>
      </c>
      <c r="I376" s="16">
        <v>0.0</v>
      </c>
      <c r="J376" s="17">
        <f>IFERROR(__xludf.DUMMYFUNCTION("INDEX(GOOGLEFINANCE(A376, ""open"", $J$1, $J$1), 2, 2)"),14.01)</f>
        <v>14.01</v>
      </c>
      <c r="K376" s="17">
        <f>IFERROR(__xludf.DUMMYFUNCTION("INDEX(GOOGLEFINANCE(A376, ""close"", $K$1, $K$1), 2, 2)"),13.65)</f>
        <v>13.65</v>
      </c>
      <c r="L376" s="8">
        <f t="shared" si="1"/>
        <v>-2.569593148</v>
      </c>
      <c r="M376" s="18">
        <f t="shared" si="2"/>
        <v>-25.69593148</v>
      </c>
      <c r="N376" s="18" t="str">
        <f t="shared" si="3"/>
        <v>Put Spread</v>
      </c>
      <c r="O376" s="18" t="str">
        <f t="shared" si="4"/>
        <v>Success</v>
      </c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</row>
    <row r="377">
      <c r="A377" s="13" t="s">
        <v>400</v>
      </c>
      <c r="B377" s="14" t="s">
        <v>18</v>
      </c>
      <c r="C377" s="15">
        <v>751.75</v>
      </c>
      <c r="D377" s="13" t="s">
        <v>19</v>
      </c>
      <c r="E377" s="15">
        <v>706.21</v>
      </c>
      <c r="F377" s="15">
        <v>4.0</v>
      </c>
      <c r="G377" s="15">
        <v>1.0</v>
      </c>
      <c r="H377" s="15">
        <v>4.0</v>
      </c>
      <c r="I377" s="16">
        <v>0.0</v>
      </c>
      <c r="J377" s="17">
        <f>IFERROR(__xludf.DUMMYFUNCTION("INDEX(GOOGLEFINANCE(A377, ""open"", $J$1, $J$1), 2, 2)"),728.0)</f>
        <v>728</v>
      </c>
      <c r="K377" s="17">
        <f>IFERROR(__xludf.DUMMYFUNCTION("INDEX(GOOGLEFINANCE(A377, ""close"", $K$1, $K$1), 2, 2)"),709.57)</f>
        <v>709.57</v>
      </c>
      <c r="L377" s="8">
        <f t="shared" si="1"/>
        <v>-2.531593407</v>
      </c>
      <c r="M377" s="18">
        <f t="shared" si="2"/>
        <v>-25.31593407</v>
      </c>
      <c r="N377" s="18" t="str">
        <f t="shared" si="3"/>
        <v>Put Spread</v>
      </c>
      <c r="O377" s="18" t="str">
        <f t="shared" si="4"/>
        <v>Success</v>
      </c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</row>
    <row r="378">
      <c r="A378" s="13" t="s">
        <v>401</v>
      </c>
      <c r="B378" s="14" t="s">
        <v>18</v>
      </c>
      <c r="C378" s="15">
        <v>55.9</v>
      </c>
      <c r="D378" s="13" t="s">
        <v>19</v>
      </c>
      <c r="E378" s="15">
        <v>54.26</v>
      </c>
      <c r="F378" s="15">
        <v>3.0</v>
      </c>
      <c r="G378" s="15">
        <v>1.0</v>
      </c>
      <c r="H378" s="15">
        <v>4.0</v>
      </c>
      <c r="I378" s="16">
        <v>-1.2612625</v>
      </c>
      <c r="J378" s="17">
        <f>IFERROR(__xludf.DUMMYFUNCTION("INDEX(GOOGLEFINANCE(A378, ""open"", $J$1, $J$1), 2, 2)"),55.22)</f>
        <v>55.22</v>
      </c>
      <c r="K378" s="17">
        <f>IFERROR(__xludf.DUMMYFUNCTION("INDEX(GOOGLEFINANCE(A378, ""close"", $K$1, $K$1), 2, 2)"),53.81)</f>
        <v>53.81</v>
      </c>
      <c r="L378" s="8">
        <f t="shared" si="1"/>
        <v>-2.553422673</v>
      </c>
      <c r="M378" s="18">
        <f t="shared" si="2"/>
        <v>-25.53422673</v>
      </c>
      <c r="N378" s="18" t="str">
        <f t="shared" si="3"/>
        <v>Put Spread</v>
      </c>
      <c r="O378" s="18" t="str">
        <f t="shared" si="4"/>
        <v>No</v>
      </c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</row>
    <row r="379">
      <c r="A379" s="13" t="s">
        <v>402</v>
      </c>
      <c r="B379" s="14" t="s">
        <v>18</v>
      </c>
      <c r="C379" s="15">
        <v>31.16</v>
      </c>
      <c r="D379" s="13" t="s">
        <v>19</v>
      </c>
      <c r="E379" s="15">
        <v>28.34</v>
      </c>
      <c r="F379" s="15">
        <v>5.0</v>
      </c>
      <c r="G379" s="15">
        <v>1.0</v>
      </c>
      <c r="H379" s="15">
        <v>4.0</v>
      </c>
      <c r="I379" s="16">
        <v>-1.0598891</v>
      </c>
      <c r="J379" s="17">
        <f>IFERROR(__xludf.DUMMYFUNCTION("INDEX(GOOGLEFINANCE(A379, ""open"", $J$1, $J$1), 2, 2)"),29.83)</f>
        <v>29.83</v>
      </c>
      <c r="K379" s="17">
        <f>IFERROR(__xludf.DUMMYFUNCTION("INDEX(GOOGLEFINANCE(A379, ""close"", $K$1, $K$1), 2, 2)"),29.07)</f>
        <v>29.07</v>
      </c>
      <c r="L379" s="8">
        <f t="shared" si="1"/>
        <v>-2.547770701</v>
      </c>
      <c r="M379" s="18">
        <f t="shared" si="2"/>
        <v>-25.47770701</v>
      </c>
      <c r="N379" s="18" t="str">
        <f t="shared" si="3"/>
        <v>Put Spread</v>
      </c>
      <c r="O379" s="18" t="str">
        <f t="shared" si="4"/>
        <v>Success</v>
      </c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</row>
    <row r="380">
      <c r="A380" s="13" t="s">
        <v>403</v>
      </c>
      <c r="B380" s="14" t="s">
        <v>18</v>
      </c>
      <c r="C380" s="15">
        <v>59.12</v>
      </c>
      <c r="D380" s="13" t="s">
        <v>19</v>
      </c>
      <c r="E380" s="15">
        <v>56.92</v>
      </c>
      <c r="F380" s="15">
        <v>2.0</v>
      </c>
      <c r="G380" s="15">
        <v>1.0</v>
      </c>
      <c r="H380" s="15">
        <v>5.0</v>
      </c>
      <c r="I380" s="16">
        <v>0.0</v>
      </c>
      <c r="J380" s="17">
        <f>IFERROR(__xludf.DUMMYFUNCTION("INDEX(GOOGLEFINANCE(A380, ""open"", $J$1, $J$1), 2, 2)"),57.47)</f>
        <v>57.47</v>
      </c>
      <c r="K380" s="17">
        <f>IFERROR(__xludf.DUMMYFUNCTION("INDEX(GOOGLEFINANCE(A380, ""close"", $K$1, $K$1), 2, 2)"),56.02)</f>
        <v>56.02</v>
      </c>
      <c r="L380" s="8">
        <f t="shared" si="1"/>
        <v>-2.523055507</v>
      </c>
      <c r="M380" s="18">
        <f t="shared" si="2"/>
        <v>-25.23055507</v>
      </c>
      <c r="N380" s="18" t="str">
        <f t="shared" si="3"/>
        <v>Put Spread</v>
      </c>
      <c r="O380" s="18" t="str">
        <f t="shared" si="4"/>
        <v>No</v>
      </c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</row>
    <row r="381">
      <c r="A381" s="13" t="s">
        <v>404</v>
      </c>
      <c r="B381" s="14" t="s">
        <v>18</v>
      </c>
      <c r="C381" s="15">
        <v>706.25</v>
      </c>
      <c r="D381" s="13" t="s">
        <v>19</v>
      </c>
      <c r="E381" s="15">
        <v>671.13</v>
      </c>
      <c r="F381" s="15">
        <v>3.0</v>
      </c>
      <c r="G381" s="15">
        <v>1.0</v>
      </c>
      <c r="H381" s="15">
        <v>4.0</v>
      </c>
      <c r="I381" s="16">
        <v>-1.0874892</v>
      </c>
      <c r="J381" s="17">
        <f>IFERROR(__xludf.DUMMYFUNCTION("INDEX(GOOGLEFINANCE(A381, ""open"", $J$1, $J$1), 2, 2)"),691.75)</f>
        <v>691.75</v>
      </c>
      <c r="K381" s="17">
        <f>IFERROR(__xludf.DUMMYFUNCTION("INDEX(GOOGLEFINANCE(A381, ""close"", $K$1, $K$1), 2, 2)"),674.4)</f>
        <v>674.4</v>
      </c>
      <c r="L381" s="8">
        <f t="shared" si="1"/>
        <v>-2.50813155</v>
      </c>
      <c r="M381" s="18">
        <f t="shared" si="2"/>
        <v>-25.0813155</v>
      </c>
      <c r="N381" s="18" t="str">
        <f t="shared" si="3"/>
        <v>Put Spread</v>
      </c>
      <c r="O381" s="18" t="str">
        <f t="shared" si="4"/>
        <v>Success</v>
      </c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</row>
    <row r="382">
      <c r="A382" s="13" t="s">
        <v>405</v>
      </c>
      <c r="B382" s="14" t="s">
        <v>18</v>
      </c>
      <c r="C382" s="15">
        <v>596.34</v>
      </c>
      <c r="D382" s="13" t="s">
        <v>19</v>
      </c>
      <c r="E382" s="15">
        <v>574.82</v>
      </c>
      <c r="F382" s="15">
        <v>3.0</v>
      </c>
      <c r="G382" s="15">
        <v>1.0</v>
      </c>
      <c r="H382" s="15">
        <v>5.0</v>
      </c>
      <c r="I382" s="16">
        <v>0.0</v>
      </c>
      <c r="J382" s="17">
        <f>IFERROR(__xludf.DUMMYFUNCTION("INDEX(GOOGLEFINANCE(A382, ""open"", $J$1, $J$1), 2, 2)"),586.04)</f>
        <v>586.04</v>
      </c>
      <c r="K382" s="17">
        <f>IFERROR(__xludf.DUMMYFUNCTION("INDEX(GOOGLEFINANCE(A382, ""close"", $K$1, $K$1), 2, 2)"),571.45)</f>
        <v>571.45</v>
      </c>
      <c r="L382" s="8">
        <f t="shared" si="1"/>
        <v>-2.489591154</v>
      </c>
      <c r="M382" s="18">
        <f t="shared" si="2"/>
        <v>-24.89591154</v>
      </c>
      <c r="N382" s="18" t="str">
        <f t="shared" si="3"/>
        <v>Put Spread</v>
      </c>
      <c r="O382" s="18" t="str">
        <f t="shared" si="4"/>
        <v>No</v>
      </c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</row>
    <row r="383">
      <c r="A383" s="13" t="s">
        <v>406</v>
      </c>
      <c r="B383" s="14" t="s">
        <v>18</v>
      </c>
      <c r="C383" s="15">
        <v>23765.63</v>
      </c>
      <c r="D383" s="13" t="s">
        <v>19</v>
      </c>
      <c r="E383" s="15">
        <v>22778.86</v>
      </c>
      <c r="F383" s="15">
        <v>5.0</v>
      </c>
      <c r="G383" s="15">
        <v>1.0</v>
      </c>
      <c r="H383" s="15">
        <v>4.0</v>
      </c>
      <c r="I383" s="16">
        <v>-0.3828841</v>
      </c>
      <c r="J383" s="17">
        <f>IFERROR(__xludf.DUMMYFUNCTION("INDEX(GOOGLEFINANCE(A383, ""open"", $J$1, $J$1), 2, 2)"),23343.13)</f>
        <v>23343.13</v>
      </c>
      <c r="K383" s="17">
        <f>IFERROR(__xludf.DUMMYFUNCTION("INDEX(GOOGLEFINANCE(A383, ""close"", $K$1, $K$1), 2, 2)"),22763.31)</f>
        <v>22763.31</v>
      </c>
      <c r="L383" s="8">
        <f t="shared" si="1"/>
        <v>-2.483899974</v>
      </c>
      <c r="M383" s="18">
        <f t="shared" si="2"/>
        <v>-24.83899974</v>
      </c>
      <c r="N383" s="18" t="str">
        <f t="shared" si="3"/>
        <v>Put Spread</v>
      </c>
      <c r="O383" s="18" t="str">
        <f t="shared" si="4"/>
        <v>No</v>
      </c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</row>
    <row r="384">
      <c r="A384" s="13" t="s">
        <v>407</v>
      </c>
      <c r="B384" s="14" t="s">
        <v>18</v>
      </c>
      <c r="C384" s="15">
        <v>316.08</v>
      </c>
      <c r="D384" s="13" t="s">
        <v>19</v>
      </c>
      <c r="E384" s="15">
        <v>290.48</v>
      </c>
      <c r="F384" s="15">
        <v>5.0</v>
      </c>
      <c r="G384" s="15">
        <v>2.0</v>
      </c>
      <c r="H384" s="15">
        <v>5.0</v>
      </c>
      <c r="I384" s="16">
        <v>0.0</v>
      </c>
      <c r="J384" s="17">
        <f>IFERROR(__xludf.DUMMYFUNCTION("INDEX(GOOGLEFINANCE(A384, ""open"", $J$1, $J$1), 2, 2)"),304.58)</f>
        <v>304.58</v>
      </c>
      <c r="K384" s="17">
        <f>IFERROR(__xludf.DUMMYFUNCTION("INDEX(GOOGLEFINANCE(A384, ""close"", $K$1, $K$1), 2, 2)"),297.02)</f>
        <v>297.02</v>
      </c>
      <c r="L384" s="8">
        <f t="shared" si="1"/>
        <v>-2.482106507</v>
      </c>
      <c r="M384" s="18">
        <f t="shared" si="2"/>
        <v>-24.82106507</v>
      </c>
      <c r="N384" s="18" t="str">
        <f t="shared" si="3"/>
        <v>Put Spread</v>
      </c>
      <c r="O384" s="18" t="str">
        <f t="shared" si="4"/>
        <v>Success</v>
      </c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</row>
    <row r="385">
      <c r="A385" s="13" t="s">
        <v>408</v>
      </c>
      <c r="B385" s="14" t="s">
        <v>18</v>
      </c>
      <c r="C385" s="15">
        <v>76.34</v>
      </c>
      <c r="D385" s="13" t="s">
        <v>19</v>
      </c>
      <c r="E385" s="15">
        <v>73.52</v>
      </c>
      <c r="F385" s="15">
        <v>4.0</v>
      </c>
      <c r="G385" s="15">
        <v>1.0</v>
      </c>
      <c r="H385" s="15">
        <v>5.0</v>
      </c>
      <c r="I385" s="16">
        <v>0.0</v>
      </c>
      <c r="J385" s="17">
        <f>IFERROR(__xludf.DUMMYFUNCTION("INDEX(GOOGLEFINANCE(A385, ""open"", $J$1, $J$1), 2, 2)"),75.01)</f>
        <v>75.01</v>
      </c>
      <c r="K385" s="17">
        <f>IFERROR(__xludf.DUMMYFUNCTION("INDEX(GOOGLEFINANCE(A385, ""close"", $K$1, $K$1), 2, 2)"),73.15)</f>
        <v>73.15</v>
      </c>
      <c r="L385" s="8">
        <f t="shared" si="1"/>
        <v>-2.479669377</v>
      </c>
      <c r="M385" s="18">
        <f t="shared" si="2"/>
        <v>-24.79669377</v>
      </c>
      <c r="N385" s="18" t="str">
        <f t="shared" si="3"/>
        <v>Put Spread</v>
      </c>
      <c r="O385" s="18" t="str">
        <f t="shared" si="4"/>
        <v>No</v>
      </c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</row>
    <row r="386">
      <c r="A386" s="13" t="s">
        <v>409</v>
      </c>
      <c r="B386" s="14" t="s">
        <v>18</v>
      </c>
      <c r="C386" s="15">
        <v>651.33</v>
      </c>
      <c r="D386" s="13" t="s">
        <v>19</v>
      </c>
      <c r="E386" s="15">
        <v>628.79</v>
      </c>
      <c r="F386" s="15">
        <v>4.0</v>
      </c>
      <c r="G386" s="15">
        <v>2.0</v>
      </c>
      <c r="H386" s="15">
        <v>5.0</v>
      </c>
      <c r="I386" s="16">
        <v>0.0</v>
      </c>
      <c r="J386" s="17">
        <f>IFERROR(__xludf.DUMMYFUNCTION("INDEX(GOOGLEFINANCE(A386, ""open"", $J$1, $J$1), 2, 2)"),640.53)</f>
        <v>640.53</v>
      </c>
      <c r="K386" s="17">
        <f>IFERROR(__xludf.DUMMYFUNCTION("INDEX(GOOGLEFINANCE(A386, ""close"", $K$1, $K$1), 2, 2)"),624.65)</f>
        <v>624.65</v>
      </c>
      <c r="L386" s="8">
        <f t="shared" si="1"/>
        <v>-2.479196915</v>
      </c>
      <c r="M386" s="18">
        <f t="shared" si="2"/>
        <v>-24.79196915</v>
      </c>
      <c r="N386" s="18" t="str">
        <f t="shared" si="3"/>
        <v>Put Spread</v>
      </c>
      <c r="O386" s="18" t="str">
        <f t="shared" si="4"/>
        <v>No</v>
      </c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</row>
    <row r="387">
      <c r="A387" s="13" t="s">
        <v>410</v>
      </c>
      <c r="B387" s="14" t="s">
        <v>18</v>
      </c>
      <c r="C387" s="15">
        <v>134.19</v>
      </c>
      <c r="D387" s="13" t="s">
        <v>19</v>
      </c>
      <c r="E387" s="15">
        <v>129.77</v>
      </c>
      <c r="F387" s="15">
        <v>5.0</v>
      </c>
      <c r="G387" s="15">
        <v>1.0</v>
      </c>
      <c r="H387" s="15">
        <v>5.0</v>
      </c>
      <c r="I387" s="16">
        <v>0.0</v>
      </c>
      <c r="J387" s="17">
        <f>IFERROR(__xludf.DUMMYFUNCTION("INDEX(GOOGLEFINANCE(A387, ""open"", $J$1, $J$1), 2, 2)"),131.67)</f>
        <v>131.67</v>
      </c>
      <c r="K387" s="17">
        <f>IFERROR(__xludf.DUMMYFUNCTION("INDEX(GOOGLEFINANCE(A387, ""close"", $K$1, $K$1), 2, 2)"),129.93)</f>
        <v>129.93</v>
      </c>
      <c r="L387" s="8">
        <f t="shared" si="1"/>
        <v>-1.321485532</v>
      </c>
      <c r="M387" s="18">
        <f t="shared" si="2"/>
        <v>-13.21485532</v>
      </c>
      <c r="N387" s="18" t="str">
        <f t="shared" si="3"/>
        <v>Put Spread</v>
      </c>
      <c r="O387" s="18" t="str">
        <f t="shared" si="4"/>
        <v>Success</v>
      </c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</row>
    <row r="388">
      <c r="A388" s="13" t="s">
        <v>411</v>
      </c>
      <c r="B388" s="14" t="s">
        <v>18</v>
      </c>
      <c r="C388" s="15">
        <v>648.59</v>
      </c>
      <c r="D388" s="13" t="s">
        <v>19</v>
      </c>
      <c r="E388" s="15">
        <v>625.61</v>
      </c>
      <c r="F388" s="15">
        <v>4.0</v>
      </c>
      <c r="G388" s="15">
        <v>1.0</v>
      </c>
      <c r="H388" s="15">
        <v>5.0</v>
      </c>
      <c r="I388" s="16">
        <v>0.0</v>
      </c>
      <c r="J388" s="17">
        <f>IFERROR(__xludf.DUMMYFUNCTION("INDEX(GOOGLEFINANCE(A388, ""open"", $J$1, $J$1), 2, 2)"),637.48)</f>
        <v>637.48</v>
      </c>
      <c r="K388" s="17">
        <f>IFERROR(__xludf.DUMMYFUNCTION("INDEX(GOOGLEFINANCE(A388, ""close"", $K$1, $K$1), 2, 2)"),621.72)</f>
        <v>621.72</v>
      </c>
      <c r="L388" s="8">
        <f t="shared" si="1"/>
        <v>-2.472234423</v>
      </c>
      <c r="M388" s="18">
        <f t="shared" si="2"/>
        <v>-24.72234423</v>
      </c>
      <c r="N388" s="18" t="str">
        <f t="shared" si="3"/>
        <v>Put Spread</v>
      </c>
      <c r="O388" s="18" t="str">
        <f t="shared" si="4"/>
        <v>No</v>
      </c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</row>
    <row r="389">
      <c r="A389" s="13" t="s">
        <v>412</v>
      </c>
      <c r="B389" s="14" t="s">
        <v>18</v>
      </c>
      <c r="C389" s="15">
        <v>738.25</v>
      </c>
      <c r="D389" s="13" t="s">
        <v>19</v>
      </c>
      <c r="E389" s="15">
        <v>685.39</v>
      </c>
      <c r="F389" s="15">
        <v>4.0</v>
      </c>
      <c r="G389" s="15">
        <v>3.0</v>
      </c>
      <c r="H389" s="15">
        <v>2.0</v>
      </c>
      <c r="I389" s="16">
        <v>0.0</v>
      </c>
      <c r="J389" s="17">
        <f>IFERROR(__xludf.DUMMYFUNCTION("INDEX(GOOGLEFINANCE(A389, ""open"", $J$1, $J$1), 2, 2)"),716.5)</f>
        <v>716.5</v>
      </c>
      <c r="K389" s="17">
        <f>IFERROR(__xludf.DUMMYFUNCTION("INDEX(GOOGLEFINANCE(A389, ""close"", $K$1, $K$1), 2, 2)"),698.8)</f>
        <v>698.8</v>
      </c>
      <c r="L389" s="20">
        <f t="shared" si="1"/>
        <v>-2.47034194</v>
      </c>
      <c r="M389" s="18">
        <f t="shared" si="2"/>
        <v>-24.7034194</v>
      </c>
      <c r="N389" s="18" t="str">
        <f t="shared" si="3"/>
        <v>Put Spread</v>
      </c>
      <c r="O389" s="18" t="str">
        <f t="shared" si="4"/>
        <v>Success</v>
      </c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</row>
    <row r="390">
      <c r="A390" s="13" t="s">
        <v>413</v>
      </c>
      <c r="B390" s="14" t="s">
        <v>18</v>
      </c>
      <c r="C390" s="15">
        <v>10.42</v>
      </c>
      <c r="D390" s="13" t="s">
        <v>19</v>
      </c>
      <c r="E390" s="15">
        <v>9.0</v>
      </c>
      <c r="F390" s="15">
        <v>5.0</v>
      </c>
      <c r="G390" s="15">
        <v>2.0</v>
      </c>
      <c r="H390" s="15">
        <v>4.0</v>
      </c>
      <c r="I390" s="16">
        <v>0.0</v>
      </c>
      <c r="J390" s="17">
        <f>IFERROR(__xludf.DUMMYFUNCTION("INDEX(GOOGLEFINANCE(A390, ""open"", $J$1, $J$1), 2, 2)"),9.72)</f>
        <v>9.72</v>
      </c>
      <c r="K390" s="17">
        <f>IFERROR(__xludf.DUMMYFUNCTION("INDEX(GOOGLEFINANCE(A390, ""close"", $K$1, $K$1), 2, 2)"),9.48)</f>
        <v>9.48</v>
      </c>
      <c r="L390" s="8">
        <f t="shared" si="1"/>
        <v>-2.469135802</v>
      </c>
      <c r="M390" s="18">
        <f t="shared" si="2"/>
        <v>-24.69135802</v>
      </c>
      <c r="N390" s="18" t="str">
        <f t="shared" si="3"/>
        <v>Put Spread</v>
      </c>
      <c r="O390" s="18" t="str">
        <f t="shared" si="4"/>
        <v>Success</v>
      </c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</row>
    <row r="391">
      <c r="A391" s="13" t="s">
        <v>414</v>
      </c>
      <c r="B391" s="14" t="s">
        <v>18</v>
      </c>
      <c r="C391" s="15">
        <v>170.33</v>
      </c>
      <c r="D391" s="13" t="s">
        <v>19</v>
      </c>
      <c r="E391" s="15">
        <v>156.17</v>
      </c>
      <c r="F391" s="15">
        <v>4.0</v>
      </c>
      <c r="G391" s="15">
        <v>3.0</v>
      </c>
      <c r="H391" s="15">
        <v>4.0</v>
      </c>
      <c r="I391" s="16">
        <v>0.632870608741106</v>
      </c>
      <c r="J391" s="17">
        <f>IFERROR(__xludf.DUMMYFUNCTION("INDEX(GOOGLEFINANCE(A391, ""open"", $J$1, $J$1), 2, 2)"),163.22)</f>
        <v>163.22</v>
      </c>
      <c r="K391" s="17">
        <f>IFERROR(__xludf.DUMMYFUNCTION("INDEX(GOOGLEFINANCE(A391, ""close"", $K$1, $K$1), 2, 2)"),159.2)</f>
        <v>159.2</v>
      </c>
      <c r="L391" s="8">
        <f t="shared" si="1"/>
        <v>-2.462933464</v>
      </c>
      <c r="M391" s="18">
        <f t="shared" si="2"/>
        <v>-24.62933464</v>
      </c>
      <c r="N391" s="18" t="str">
        <f t="shared" si="3"/>
        <v>Put Spread</v>
      </c>
      <c r="O391" s="18" t="str">
        <f t="shared" si="4"/>
        <v>Success</v>
      </c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</row>
    <row r="392">
      <c r="A392" s="13" t="s">
        <v>415</v>
      </c>
      <c r="B392" s="14" t="s">
        <v>18</v>
      </c>
      <c r="C392" s="15">
        <v>54.96</v>
      </c>
      <c r="D392" s="13" t="s">
        <v>19</v>
      </c>
      <c r="E392" s="15">
        <v>49.28</v>
      </c>
      <c r="F392" s="15">
        <v>2.0</v>
      </c>
      <c r="G392" s="15">
        <v>3.0</v>
      </c>
      <c r="H392" s="15">
        <v>5.0</v>
      </c>
      <c r="I392" s="16">
        <v>0.0</v>
      </c>
      <c r="J392" s="17">
        <f>IFERROR(__xludf.DUMMYFUNCTION("INDEX(GOOGLEFINANCE(A392, ""open"", $J$1, $J$1), 2, 2)"),52.01)</f>
        <v>52.01</v>
      </c>
      <c r="K392" s="17">
        <f>IFERROR(__xludf.DUMMYFUNCTION("INDEX(GOOGLEFINANCE(A392, ""close"", $K$1, $K$1), 2, 2)"),50.73)</f>
        <v>50.73</v>
      </c>
      <c r="L392" s="8">
        <f t="shared" si="1"/>
        <v>-2.46106518</v>
      </c>
      <c r="M392" s="18">
        <f t="shared" si="2"/>
        <v>-24.6106518</v>
      </c>
      <c r="N392" s="18" t="str">
        <f t="shared" si="3"/>
        <v>Put Spread</v>
      </c>
      <c r="O392" s="18" t="str">
        <f t="shared" si="4"/>
        <v>Success</v>
      </c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</row>
    <row r="393">
      <c r="A393" s="13" t="s">
        <v>416</v>
      </c>
      <c r="B393" s="14" t="s">
        <v>18</v>
      </c>
      <c r="C393" s="15">
        <v>212.69</v>
      </c>
      <c r="D393" s="13" t="s">
        <v>19</v>
      </c>
      <c r="E393" s="15">
        <v>205.59</v>
      </c>
      <c r="F393" s="15">
        <v>4.0</v>
      </c>
      <c r="G393" s="15">
        <v>1.0</v>
      </c>
      <c r="H393" s="15">
        <v>4.0</v>
      </c>
      <c r="I393" s="16">
        <v>-0.3238671</v>
      </c>
      <c r="J393" s="17">
        <f>IFERROR(__xludf.DUMMYFUNCTION("INDEX(GOOGLEFINANCE(A393, ""open"", $J$1, $J$1), 2, 2)"),209.2)</f>
        <v>209.2</v>
      </c>
      <c r="K393" s="17">
        <f>IFERROR(__xludf.DUMMYFUNCTION("INDEX(GOOGLEFINANCE(A393, ""close"", $K$1, $K$1), 2, 2)"),204.09)</f>
        <v>204.09</v>
      </c>
      <c r="L393" s="8">
        <f t="shared" si="1"/>
        <v>-2.442638623</v>
      </c>
      <c r="M393" s="18">
        <f t="shared" si="2"/>
        <v>-24.42638623</v>
      </c>
      <c r="N393" s="18" t="str">
        <f t="shared" si="3"/>
        <v>Put Spread</v>
      </c>
      <c r="O393" s="18" t="str">
        <f t="shared" si="4"/>
        <v>No</v>
      </c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</row>
    <row r="394">
      <c r="A394" s="13" t="s">
        <v>417</v>
      </c>
      <c r="B394" s="14" t="s">
        <v>18</v>
      </c>
      <c r="C394" s="15">
        <v>578.96</v>
      </c>
      <c r="D394" s="13" t="s">
        <v>19</v>
      </c>
      <c r="E394" s="15">
        <v>553.78</v>
      </c>
      <c r="F394" s="15">
        <v>4.0</v>
      </c>
      <c r="G394" s="15">
        <v>1.0</v>
      </c>
      <c r="H394" s="15">
        <v>4.0</v>
      </c>
      <c r="I394" s="16">
        <v>-0.3566491</v>
      </c>
      <c r="J394" s="17">
        <f>IFERROR(__xludf.DUMMYFUNCTION("INDEX(GOOGLEFINANCE(A394, ""open"", $J$1, $J$1), 2, 2)"),567.74)</f>
        <v>567.74</v>
      </c>
      <c r="K394" s="17">
        <f>IFERROR(__xludf.DUMMYFUNCTION("INDEX(GOOGLEFINANCE(A394, ""close"", $K$1, $K$1), 2, 2)"),553.88)</f>
        <v>553.88</v>
      </c>
      <c r="L394" s="20">
        <f t="shared" si="1"/>
        <v>-2.441258322</v>
      </c>
      <c r="M394" s="18">
        <f t="shared" si="2"/>
        <v>-24.41258322</v>
      </c>
      <c r="N394" s="18" t="str">
        <f t="shared" si="3"/>
        <v>Put Spread</v>
      </c>
      <c r="O394" s="18" t="str">
        <f t="shared" si="4"/>
        <v>Success</v>
      </c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</row>
    <row r="395">
      <c r="A395" s="13" t="s">
        <v>418</v>
      </c>
      <c r="B395" s="14" t="s">
        <v>18</v>
      </c>
      <c r="C395" s="15">
        <v>37.55</v>
      </c>
      <c r="D395" s="13" t="s">
        <v>19</v>
      </c>
      <c r="E395" s="15">
        <v>35.59</v>
      </c>
      <c r="F395" s="15">
        <v>3.0</v>
      </c>
      <c r="G395" s="15">
        <v>2.0</v>
      </c>
      <c r="H395" s="15">
        <v>5.0</v>
      </c>
      <c r="I395" s="16">
        <v>0.0</v>
      </c>
      <c r="J395" s="17">
        <f>IFERROR(__xludf.DUMMYFUNCTION("INDEX(GOOGLEFINANCE(A395, ""open"", $J$1, $J$1), 2, 2)"),36.55)</f>
        <v>36.55</v>
      </c>
      <c r="K395" s="17">
        <f>IFERROR(__xludf.DUMMYFUNCTION("INDEX(GOOGLEFINANCE(A395, ""close"", $K$1, $K$1), 2, 2)"),35.66)</f>
        <v>35.66</v>
      </c>
      <c r="L395" s="20">
        <f t="shared" si="1"/>
        <v>-2.43502052</v>
      </c>
      <c r="M395" s="18">
        <f t="shared" si="2"/>
        <v>-24.3502052</v>
      </c>
      <c r="N395" s="18" t="str">
        <f t="shared" si="3"/>
        <v>Put Spread</v>
      </c>
      <c r="O395" s="18" t="str">
        <f t="shared" si="4"/>
        <v>Success</v>
      </c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</row>
    <row r="396">
      <c r="A396" s="13" t="s">
        <v>419</v>
      </c>
      <c r="B396" s="14" t="s">
        <v>18</v>
      </c>
      <c r="C396" s="15">
        <v>71.76</v>
      </c>
      <c r="D396" s="13" t="s">
        <v>19</v>
      </c>
      <c r="E396" s="15">
        <v>69.2</v>
      </c>
      <c r="F396" s="15">
        <v>3.0</v>
      </c>
      <c r="G396" s="15">
        <v>2.0</v>
      </c>
      <c r="H396" s="15">
        <v>5.0</v>
      </c>
      <c r="I396" s="16">
        <v>0.0</v>
      </c>
      <c r="J396" s="17">
        <f>IFERROR(__xludf.DUMMYFUNCTION("INDEX(GOOGLEFINANCE(A396, ""open"", $J$1, $J$1), 2, 2)"),69.93)</f>
        <v>69.93</v>
      </c>
      <c r="K396" s="17">
        <f>IFERROR(__xludf.DUMMYFUNCTION("INDEX(GOOGLEFINANCE(A396, ""close"", $K$1, $K$1), 2, 2)"),68.24)</f>
        <v>68.24</v>
      </c>
      <c r="L396" s="20">
        <f t="shared" si="1"/>
        <v>-2.416702417</v>
      </c>
      <c r="M396" s="18">
        <f t="shared" si="2"/>
        <v>-24.16702417</v>
      </c>
      <c r="N396" s="18" t="str">
        <f t="shared" si="3"/>
        <v>Put Spread</v>
      </c>
      <c r="O396" s="18" t="str">
        <f t="shared" si="4"/>
        <v>No</v>
      </c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</row>
    <row r="397">
      <c r="A397" s="13" t="s">
        <v>420</v>
      </c>
      <c r="B397" s="14" t="s">
        <v>18</v>
      </c>
      <c r="C397" s="15">
        <v>146.83</v>
      </c>
      <c r="D397" s="13" t="s">
        <v>19</v>
      </c>
      <c r="E397" s="15">
        <v>140.07</v>
      </c>
      <c r="F397" s="15">
        <v>4.0</v>
      </c>
      <c r="G397" s="15">
        <v>1.0</v>
      </c>
      <c r="H397" s="15">
        <v>4.0</v>
      </c>
      <c r="I397" s="16">
        <v>0.0</v>
      </c>
      <c r="J397" s="17">
        <f>IFERROR(__xludf.DUMMYFUNCTION("INDEX(GOOGLEFINANCE(A397, ""open"", $J$1, $J$1), 2, 2)"),142.7)</f>
        <v>142.7</v>
      </c>
      <c r="K397" s="17">
        <f>IFERROR(__xludf.DUMMYFUNCTION("INDEX(GOOGLEFINANCE(A397, ""close"", $K$1, $K$1), 2, 2)"),139.28)</f>
        <v>139.28</v>
      </c>
      <c r="L397" s="20">
        <f t="shared" si="1"/>
        <v>-2.3966363</v>
      </c>
      <c r="M397" s="18">
        <f t="shared" si="2"/>
        <v>-23.966363</v>
      </c>
      <c r="N397" s="18" t="str">
        <f t="shared" si="3"/>
        <v>Put Spread</v>
      </c>
      <c r="O397" s="18" t="str">
        <f t="shared" si="4"/>
        <v>No</v>
      </c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</row>
    <row r="398">
      <c r="A398" s="13" t="s">
        <v>421</v>
      </c>
      <c r="B398" s="14" t="s">
        <v>18</v>
      </c>
      <c r="C398" s="15">
        <v>97.11</v>
      </c>
      <c r="D398" s="13" t="s">
        <v>19</v>
      </c>
      <c r="E398" s="15">
        <v>89.49</v>
      </c>
      <c r="F398" s="15">
        <v>2.0</v>
      </c>
      <c r="G398" s="15">
        <v>2.0</v>
      </c>
      <c r="H398" s="15">
        <v>2.0</v>
      </c>
      <c r="I398" s="16">
        <v>0.471989993182535</v>
      </c>
      <c r="J398" s="17">
        <f>IFERROR(__xludf.DUMMYFUNCTION("INDEX(GOOGLEFINANCE(A398, ""open"", $J$1, $J$1), 2, 2)"),93.79)</f>
        <v>93.79</v>
      </c>
      <c r="K398" s="17">
        <f>IFERROR(__xludf.DUMMYFUNCTION("INDEX(GOOGLEFINANCE(A398, ""close"", $K$1, $K$1), 2, 2)"),91.56)</f>
        <v>91.56</v>
      </c>
      <c r="L398" s="8">
        <f t="shared" si="1"/>
        <v>-2.377652202</v>
      </c>
      <c r="M398" s="18">
        <f t="shared" si="2"/>
        <v>-23.77652202</v>
      </c>
      <c r="N398" s="18" t="str">
        <f t="shared" si="3"/>
        <v>Put Spread</v>
      </c>
      <c r="O398" s="18" t="str">
        <f t="shared" si="4"/>
        <v>Success</v>
      </c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</row>
    <row r="399">
      <c r="A399" s="13" t="s">
        <v>422</v>
      </c>
      <c r="B399" s="14" t="s">
        <v>18</v>
      </c>
      <c r="C399" s="15">
        <v>496.21</v>
      </c>
      <c r="D399" s="13" t="s">
        <v>19</v>
      </c>
      <c r="E399" s="15">
        <v>471.93</v>
      </c>
      <c r="F399" s="15">
        <v>3.0</v>
      </c>
      <c r="G399" s="15">
        <v>2.0</v>
      </c>
      <c r="H399" s="15">
        <v>4.0</v>
      </c>
      <c r="I399" s="16">
        <v>0.0</v>
      </c>
      <c r="J399" s="17">
        <f>IFERROR(__xludf.DUMMYFUNCTION("INDEX(GOOGLEFINANCE(A399, ""open"", $J$1, $J$1), 2, 2)"),484.35)</f>
        <v>484.35</v>
      </c>
      <c r="K399" s="17">
        <f>IFERROR(__xludf.DUMMYFUNCTION("INDEX(GOOGLEFINANCE(A399, ""close"", $K$1, $K$1), 2, 2)"),472.84)</f>
        <v>472.84</v>
      </c>
      <c r="L399" s="8">
        <f t="shared" si="1"/>
        <v>-2.376380716</v>
      </c>
      <c r="M399" s="18">
        <f t="shared" si="2"/>
        <v>-23.76380716</v>
      </c>
      <c r="N399" s="18" t="str">
        <f t="shared" si="3"/>
        <v>Put Spread</v>
      </c>
      <c r="O399" s="18" t="str">
        <f t="shared" si="4"/>
        <v>Success</v>
      </c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</row>
    <row r="400">
      <c r="A400" s="13" t="s">
        <v>423</v>
      </c>
      <c r="B400" s="14" t="s">
        <v>18</v>
      </c>
      <c r="C400" s="15">
        <v>312.96</v>
      </c>
      <c r="D400" s="13" t="s">
        <v>19</v>
      </c>
      <c r="E400" s="15">
        <v>283.5</v>
      </c>
      <c r="F400" s="15">
        <v>2.0</v>
      </c>
      <c r="G400" s="15">
        <v>2.0</v>
      </c>
      <c r="H400" s="15">
        <v>5.0</v>
      </c>
      <c r="I400" s="16">
        <v>0.0</v>
      </c>
      <c r="J400" s="17">
        <f>IFERROR(__xludf.DUMMYFUNCTION("INDEX(GOOGLEFINANCE(A400, ""open"", $J$1, $J$1), 2, 2)"),300.92)</f>
        <v>300.92</v>
      </c>
      <c r="K400" s="17">
        <f>IFERROR(__xludf.DUMMYFUNCTION("INDEX(GOOGLEFINANCE(A400, ""close"", $K$1, $K$1), 2, 2)"),293.77)</f>
        <v>293.77</v>
      </c>
      <c r="L400" s="8">
        <f t="shared" si="1"/>
        <v>-2.37604679</v>
      </c>
      <c r="M400" s="18">
        <f t="shared" si="2"/>
        <v>-23.7604679</v>
      </c>
      <c r="N400" s="18" t="str">
        <f t="shared" si="3"/>
        <v>Put Spread</v>
      </c>
      <c r="O400" s="18" t="str">
        <f t="shared" si="4"/>
        <v>Success</v>
      </c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</row>
    <row r="401">
      <c r="A401" s="13" t="s">
        <v>424</v>
      </c>
      <c r="B401" s="14" t="s">
        <v>18</v>
      </c>
      <c r="C401" s="15">
        <v>106.22</v>
      </c>
      <c r="D401" s="13" t="s">
        <v>19</v>
      </c>
      <c r="E401" s="15">
        <v>99.94</v>
      </c>
      <c r="F401" s="15">
        <v>4.0</v>
      </c>
      <c r="G401" s="15">
        <v>1.0</v>
      </c>
      <c r="H401" s="15">
        <v>2.0</v>
      </c>
      <c r="I401" s="16">
        <v>0.0</v>
      </c>
      <c r="J401" s="17">
        <f>IFERROR(__xludf.DUMMYFUNCTION("INDEX(GOOGLEFINANCE(A401, ""open"", $J$1, $J$1), 2, 2)"),103.05)</f>
        <v>103.05</v>
      </c>
      <c r="K401" s="17">
        <f>IFERROR(__xludf.DUMMYFUNCTION("INDEX(GOOGLEFINANCE(A401, ""close"", $K$1, $K$1), 2, 2)"),100.62)</f>
        <v>100.62</v>
      </c>
      <c r="L401" s="8">
        <f t="shared" si="1"/>
        <v>-2.358078603</v>
      </c>
      <c r="M401" s="18">
        <f t="shared" si="2"/>
        <v>-23.58078603</v>
      </c>
      <c r="N401" s="18" t="str">
        <f t="shared" si="3"/>
        <v>Put Spread</v>
      </c>
      <c r="O401" s="18" t="str">
        <f t="shared" si="4"/>
        <v>Success</v>
      </c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</row>
    <row r="402">
      <c r="A402" s="13" t="s">
        <v>425</v>
      </c>
      <c r="B402" s="14" t="s">
        <v>18</v>
      </c>
      <c r="C402" s="15">
        <v>90.5</v>
      </c>
      <c r="D402" s="13" t="s">
        <v>19</v>
      </c>
      <c r="E402" s="15">
        <v>80.06</v>
      </c>
      <c r="F402" s="15">
        <v>5.0</v>
      </c>
      <c r="G402" s="15">
        <v>3.0</v>
      </c>
      <c r="H402" s="15">
        <v>2.0</v>
      </c>
      <c r="I402" s="16">
        <v>-2.045907</v>
      </c>
      <c r="J402" s="17">
        <f>IFERROR(__xludf.DUMMYFUNCTION("INDEX(GOOGLEFINANCE(A402, ""open"", $J$1, $J$1), 2, 2)"),86.13)</f>
        <v>86.13</v>
      </c>
      <c r="K402" s="17">
        <f>IFERROR(__xludf.DUMMYFUNCTION("INDEX(GOOGLEFINANCE(A402, ""close"", $K$1, $K$1), 2, 2)"),84.11)</f>
        <v>84.11</v>
      </c>
      <c r="L402" s="8">
        <f t="shared" si="1"/>
        <v>-2.345292</v>
      </c>
      <c r="M402" s="18">
        <f t="shared" si="2"/>
        <v>-23.45292</v>
      </c>
      <c r="N402" s="18" t="str">
        <f t="shared" si="3"/>
        <v>Put Spread</v>
      </c>
      <c r="O402" s="18" t="str">
        <f t="shared" si="4"/>
        <v>Success</v>
      </c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</row>
    <row r="403">
      <c r="A403" s="13" t="s">
        <v>426</v>
      </c>
      <c r="B403" s="14" t="s">
        <v>18</v>
      </c>
      <c r="C403" s="15">
        <v>28.78</v>
      </c>
      <c r="D403" s="13" t="s">
        <v>19</v>
      </c>
      <c r="E403" s="15">
        <v>23.42</v>
      </c>
      <c r="F403" s="15">
        <v>3.0</v>
      </c>
      <c r="G403" s="15">
        <v>3.0</v>
      </c>
      <c r="H403" s="15">
        <v>3.0</v>
      </c>
      <c r="I403" s="16">
        <v>-0.9914847</v>
      </c>
      <c r="J403" s="17">
        <f>IFERROR(__xludf.DUMMYFUNCTION("INDEX(GOOGLEFINANCE(A403, ""open"", $J$1, $J$1), 2, 2)"),25.6)</f>
        <v>25.6</v>
      </c>
      <c r="K403" s="17">
        <f>IFERROR(__xludf.DUMMYFUNCTION("INDEX(GOOGLEFINANCE(A403, ""close"", $K$1, $K$1), 2, 2)"),25.0)</f>
        <v>25</v>
      </c>
      <c r="L403" s="8">
        <f t="shared" si="1"/>
        <v>-2.34375</v>
      </c>
      <c r="M403" s="18">
        <f t="shared" si="2"/>
        <v>-23.4375</v>
      </c>
      <c r="N403" s="18" t="str">
        <f t="shared" si="3"/>
        <v>Put Spread</v>
      </c>
      <c r="O403" s="18" t="str">
        <f t="shared" si="4"/>
        <v>Success</v>
      </c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</row>
    <row r="404">
      <c r="A404" s="13" t="s">
        <v>427</v>
      </c>
      <c r="B404" s="14" t="s">
        <v>18</v>
      </c>
      <c r="C404" s="15">
        <v>73.91</v>
      </c>
      <c r="D404" s="13" t="s">
        <v>19</v>
      </c>
      <c r="E404" s="15">
        <v>60.27</v>
      </c>
      <c r="F404" s="15">
        <v>3.0</v>
      </c>
      <c r="G404" s="15">
        <v>2.0</v>
      </c>
      <c r="H404" s="15">
        <v>4.0</v>
      </c>
      <c r="I404" s="16">
        <v>0.0</v>
      </c>
      <c r="J404" s="17">
        <f>IFERROR(__xludf.DUMMYFUNCTION("INDEX(GOOGLEFINANCE(A404, ""open"", $J$1, $J$1), 2, 2)"),68.0)</f>
        <v>68</v>
      </c>
      <c r="K404" s="17">
        <f>IFERROR(__xludf.DUMMYFUNCTION("INDEX(GOOGLEFINANCE(A404, ""close"", $K$1, $K$1), 2, 2)"),66.41)</f>
        <v>66.41</v>
      </c>
      <c r="L404" s="8">
        <f t="shared" si="1"/>
        <v>-2.338235294</v>
      </c>
      <c r="M404" s="18">
        <f t="shared" si="2"/>
        <v>-23.38235294</v>
      </c>
      <c r="N404" s="18" t="str">
        <f t="shared" si="3"/>
        <v>Put Spread</v>
      </c>
      <c r="O404" s="18" t="str">
        <f t="shared" si="4"/>
        <v>Success</v>
      </c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</row>
    <row r="405">
      <c r="A405" s="13" t="s">
        <v>428</v>
      </c>
      <c r="B405" s="14" t="s">
        <v>18</v>
      </c>
      <c r="C405" s="15">
        <v>200.67</v>
      </c>
      <c r="D405" s="13" t="s">
        <v>19</v>
      </c>
      <c r="E405" s="15">
        <v>185.69</v>
      </c>
      <c r="F405" s="15">
        <v>5.0</v>
      </c>
      <c r="G405" s="15">
        <v>2.0</v>
      </c>
      <c r="H405" s="15">
        <v>5.0</v>
      </c>
      <c r="I405" s="16">
        <v>0.0</v>
      </c>
      <c r="J405" s="17">
        <f>IFERROR(__xludf.DUMMYFUNCTION("INDEX(GOOGLEFINANCE(A405, ""open"", $J$1, $J$1), 2, 2)"),193.65)</f>
        <v>193.65</v>
      </c>
      <c r="K405" s="17">
        <f>IFERROR(__xludf.DUMMYFUNCTION("INDEX(GOOGLEFINANCE(A405, ""close"", $K$1, $K$1), 2, 2)"),189.13)</f>
        <v>189.13</v>
      </c>
      <c r="L405" s="20">
        <f t="shared" si="1"/>
        <v>-2.334107927</v>
      </c>
      <c r="M405" s="18">
        <f t="shared" si="2"/>
        <v>-23.34107927</v>
      </c>
      <c r="N405" s="18" t="str">
        <f t="shared" si="3"/>
        <v>Put Spread</v>
      </c>
      <c r="O405" s="18" t="str">
        <f t="shared" si="4"/>
        <v>Success</v>
      </c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</row>
    <row r="406">
      <c r="A406" s="13" t="s">
        <v>429</v>
      </c>
      <c r="B406" s="14" t="s">
        <v>18</v>
      </c>
      <c r="C406" s="15">
        <v>61.61</v>
      </c>
      <c r="D406" s="13" t="s">
        <v>19</v>
      </c>
      <c r="E406" s="15">
        <v>57.05</v>
      </c>
      <c r="F406" s="15">
        <v>5.0</v>
      </c>
      <c r="G406" s="15">
        <v>1.0</v>
      </c>
      <c r="H406" s="15">
        <v>4.0</v>
      </c>
      <c r="I406" s="16">
        <v>2.70968170869227</v>
      </c>
      <c r="J406" s="17">
        <f>IFERROR(__xludf.DUMMYFUNCTION("INDEX(GOOGLEFINANCE(A406, ""open"", $J$1, $J$1), 2, 2)"),59.0)</f>
        <v>59</v>
      </c>
      <c r="K406" s="17">
        <f>IFERROR(__xludf.DUMMYFUNCTION("INDEX(GOOGLEFINANCE(A406, ""close"", $K$1, $K$1), 2, 2)"),57.63)</f>
        <v>57.63</v>
      </c>
      <c r="L406" s="20">
        <f t="shared" si="1"/>
        <v>-2.322033898</v>
      </c>
      <c r="M406" s="18">
        <f t="shared" si="2"/>
        <v>-23.22033898</v>
      </c>
      <c r="N406" s="18" t="str">
        <f t="shared" si="3"/>
        <v>Put Spread</v>
      </c>
      <c r="O406" s="18" t="str">
        <f t="shared" si="4"/>
        <v>Success</v>
      </c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</row>
    <row r="407">
      <c r="A407" s="13" t="s">
        <v>430</v>
      </c>
      <c r="B407" s="14" t="s">
        <v>18</v>
      </c>
      <c r="C407" s="15">
        <v>213.63</v>
      </c>
      <c r="D407" s="13" t="s">
        <v>19</v>
      </c>
      <c r="E407" s="15">
        <v>202.49</v>
      </c>
      <c r="F407" s="15">
        <v>4.0</v>
      </c>
      <c r="G407" s="15">
        <v>2.0</v>
      </c>
      <c r="H407" s="15">
        <v>5.0</v>
      </c>
      <c r="I407" s="16">
        <v>1.45024784140075</v>
      </c>
      <c r="J407" s="17">
        <f>IFERROR(__xludf.DUMMYFUNCTION("INDEX(GOOGLEFINANCE(A407, ""open"", $J$1, $J$1), 2, 2)"),206.73)</f>
        <v>206.73</v>
      </c>
      <c r="K407" s="17">
        <f>IFERROR(__xludf.DUMMYFUNCTION("INDEX(GOOGLEFINANCE(A407, ""close"", $K$1, $K$1), 2, 2)"),201.93)</f>
        <v>201.93</v>
      </c>
      <c r="L407" s="20">
        <f t="shared" si="1"/>
        <v>-2.321869105</v>
      </c>
      <c r="M407" s="18">
        <f t="shared" si="2"/>
        <v>-23.21869105</v>
      </c>
      <c r="N407" s="18" t="str">
        <f t="shared" si="3"/>
        <v>Put Spread</v>
      </c>
      <c r="O407" s="18" t="str">
        <f t="shared" si="4"/>
        <v>No</v>
      </c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</row>
    <row r="408">
      <c r="A408" s="13" t="s">
        <v>431</v>
      </c>
      <c r="B408" s="14" t="s">
        <v>18</v>
      </c>
      <c r="C408" s="15">
        <v>59.24</v>
      </c>
      <c r="D408" s="13" t="s">
        <v>19</v>
      </c>
      <c r="E408" s="15">
        <v>56.56</v>
      </c>
      <c r="F408" s="15">
        <v>5.0</v>
      </c>
      <c r="G408" s="15">
        <v>2.0</v>
      </c>
      <c r="H408" s="15">
        <v>5.0</v>
      </c>
      <c r="I408" s="16">
        <v>0.0</v>
      </c>
      <c r="J408" s="17">
        <f>IFERROR(__xludf.DUMMYFUNCTION("INDEX(GOOGLEFINANCE(A408, ""open"", $J$1, $J$1), 2, 2)"),57.9)</f>
        <v>57.9</v>
      </c>
      <c r="K408" s="17">
        <f>IFERROR(__xludf.DUMMYFUNCTION("INDEX(GOOGLEFINANCE(A408, ""close"", $K$1, $K$1), 2, 2)"),56.57)</f>
        <v>56.57</v>
      </c>
      <c r="L408" s="8">
        <f t="shared" si="1"/>
        <v>-2.297063903</v>
      </c>
      <c r="M408" s="18">
        <f t="shared" si="2"/>
        <v>-22.97063903</v>
      </c>
      <c r="N408" s="18" t="str">
        <f t="shared" si="3"/>
        <v>Put Spread</v>
      </c>
      <c r="O408" s="18" t="str">
        <f t="shared" si="4"/>
        <v>Success</v>
      </c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</row>
    <row r="409">
      <c r="A409" s="13" t="s">
        <v>432</v>
      </c>
      <c r="B409" s="14" t="s">
        <v>18</v>
      </c>
      <c r="C409" s="15">
        <v>201.47</v>
      </c>
      <c r="D409" s="13" t="s">
        <v>19</v>
      </c>
      <c r="E409" s="15">
        <v>186.69</v>
      </c>
      <c r="F409" s="15">
        <v>4.0</v>
      </c>
      <c r="G409" s="15">
        <v>2.0</v>
      </c>
      <c r="H409" s="15">
        <v>5.0</v>
      </c>
      <c r="I409" s="16">
        <v>0.0</v>
      </c>
      <c r="J409" s="17">
        <f>IFERROR(__xludf.DUMMYFUNCTION("INDEX(GOOGLEFINANCE(A409, ""open"", $J$1, $J$1), 2, 2)"),194.41)</f>
        <v>194.41</v>
      </c>
      <c r="K409" s="17">
        <f>IFERROR(__xludf.DUMMYFUNCTION("INDEX(GOOGLEFINANCE(A409, ""close"", $K$1, $K$1), 2, 2)"),189.95)</f>
        <v>189.95</v>
      </c>
      <c r="L409" s="8">
        <f t="shared" si="1"/>
        <v>-2.294120673</v>
      </c>
      <c r="M409" s="18">
        <f t="shared" si="2"/>
        <v>-22.94120673</v>
      </c>
      <c r="N409" s="18" t="str">
        <f t="shared" si="3"/>
        <v>Put Spread</v>
      </c>
      <c r="O409" s="18" t="str">
        <f t="shared" si="4"/>
        <v>Success</v>
      </c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</row>
    <row r="410">
      <c r="A410" s="13" t="s">
        <v>433</v>
      </c>
      <c r="B410" s="14" t="s">
        <v>18</v>
      </c>
      <c r="C410" s="15">
        <v>464.34</v>
      </c>
      <c r="D410" s="13" t="s">
        <v>19</v>
      </c>
      <c r="E410" s="15">
        <v>444.12</v>
      </c>
      <c r="F410" s="15">
        <v>5.0</v>
      </c>
      <c r="G410" s="15">
        <v>1.0</v>
      </c>
      <c r="H410" s="15">
        <v>4.0</v>
      </c>
      <c r="I410" s="16">
        <v>-0.8465057</v>
      </c>
      <c r="J410" s="17">
        <f>IFERROR(__xludf.DUMMYFUNCTION("INDEX(GOOGLEFINANCE(A410, ""open"", $J$1, $J$1), 2, 2)"),455.43)</f>
        <v>455.43</v>
      </c>
      <c r="K410" s="17">
        <f>IFERROR(__xludf.DUMMYFUNCTION("INDEX(GOOGLEFINANCE(A410, ""close"", $K$1, $K$1), 2, 2)"),445.04)</f>
        <v>445.04</v>
      </c>
      <c r="L410" s="8">
        <f t="shared" si="1"/>
        <v>-2.281360473</v>
      </c>
      <c r="M410" s="18">
        <f t="shared" si="2"/>
        <v>-22.81360473</v>
      </c>
      <c r="N410" s="18" t="str">
        <f t="shared" si="3"/>
        <v>Put Spread</v>
      </c>
      <c r="O410" s="18" t="str">
        <f t="shared" si="4"/>
        <v>Success</v>
      </c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</row>
    <row r="411">
      <c r="A411" s="13" t="s">
        <v>434</v>
      </c>
      <c r="B411" s="14" t="s">
        <v>18</v>
      </c>
      <c r="C411" s="15">
        <v>90.02</v>
      </c>
      <c r="D411" s="13" t="s">
        <v>19</v>
      </c>
      <c r="E411" s="15">
        <v>76.64</v>
      </c>
      <c r="F411" s="15">
        <v>3.0</v>
      </c>
      <c r="G411" s="15">
        <v>1.0</v>
      </c>
      <c r="H411" s="15">
        <v>3.0</v>
      </c>
      <c r="I411" s="16">
        <v>-1.557671</v>
      </c>
      <c r="J411" s="17">
        <f>IFERROR(__xludf.DUMMYFUNCTION("INDEX(GOOGLEFINANCE(A411, ""open"", $J$1, $J$1), 2, 2)"),84.13)</f>
        <v>84.13</v>
      </c>
      <c r="K411" s="17">
        <f>IFERROR(__xludf.DUMMYFUNCTION("INDEX(GOOGLEFINANCE(A411, ""close"", $K$1, $K$1), 2, 2)"),82.22)</f>
        <v>82.22</v>
      </c>
      <c r="L411" s="20">
        <f t="shared" si="1"/>
        <v>-2.270295971</v>
      </c>
      <c r="M411" s="18">
        <f t="shared" si="2"/>
        <v>-22.70295971</v>
      </c>
      <c r="N411" s="18" t="str">
        <f t="shared" si="3"/>
        <v>Put Spread</v>
      </c>
      <c r="O411" s="18" t="str">
        <f t="shared" si="4"/>
        <v>Success</v>
      </c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</row>
    <row r="412">
      <c r="A412" s="13" t="s">
        <v>435</v>
      </c>
      <c r="B412" s="14" t="s">
        <v>18</v>
      </c>
      <c r="C412" s="15">
        <v>388.01</v>
      </c>
      <c r="D412" s="13" t="s">
        <v>19</v>
      </c>
      <c r="E412" s="15">
        <v>371.03</v>
      </c>
      <c r="F412" s="15">
        <v>5.0</v>
      </c>
      <c r="G412" s="15">
        <v>1.0</v>
      </c>
      <c r="H412" s="15">
        <v>4.0</v>
      </c>
      <c r="I412" s="16">
        <v>-0.4511908</v>
      </c>
      <c r="J412" s="17">
        <f>IFERROR(__xludf.DUMMYFUNCTION("INDEX(GOOGLEFINANCE(A412, ""open"", $J$1, $J$1), 2, 2)"),380.43)</f>
        <v>380.43</v>
      </c>
      <c r="K412" s="17">
        <f>IFERROR(__xludf.DUMMYFUNCTION("INDEX(GOOGLEFINANCE(A412, ""close"", $K$1, $K$1), 2, 2)"),371.84)</f>
        <v>371.84</v>
      </c>
      <c r="L412" s="20">
        <f t="shared" si="1"/>
        <v>-2.257971243</v>
      </c>
      <c r="M412" s="18">
        <f t="shared" si="2"/>
        <v>-22.57971243</v>
      </c>
      <c r="N412" s="18" t="str">
        <f t="shared" si="3"/>
        <v>Put Spread</v>
      </c>
      <c r="O412" s="18" t="str">
        <f t="shared" si="4"/>
        <v>Success</v>
      </c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</row>
    <row r="413">
      <c r="A413" s="13" t="s">
        <v>436</v>
      </c>
      <c r="B413" s="26" t="s">
        <v>47</v>
      </c>
      <c r="C413" s="15">
        <v>415.11</v>
      </c>
      <c r="D413" s="13" t="s">
        <v>48</v>
      </c>
      <c r="E413" s="15">
        <v>440.89</v>
      </c>
      <c r="F413" s="15">
        <v>2.0</v>
      </c>
      <c r="G413" s="15">
        <v>2.0</v>
      </c>
      <c r="H413" s="15">
        <v>3.0</v>
      </c>
      <c r="I413" s="16">
        <v>0.0</v>
      </c>
      <c r="J413" s="17">
        <f>IFERROR(__xludf.DUMMYFUNCTION("INDEX(GOOGLEFINANCE(A413, ""open"", $J$1, $J$1), 2, 2)"),427.09)</f>
        <v>427.09</v>
      </c>
      <c r="K413" s="17">
        <f>IFERROR(__xludf.DUMMYFUNCTION("INDEX(GOOGLEFINANCE(A413, ""close"", $K$1, $K$1), 2, 2)"),436.71)</f>
        <v>436.71</v>
      </c>
      <c r="L413" s="8">
        <f t="shared" si="1"/>
        <v>-2.252452645</v>
      </c>
      <c r="M413" s="18">
        <f t="shared" si="2"/>
        <v>-22.52452645</v>
      </c>
      <c r="N413" s="18" t="str">
        <f t="shared" si="3"/>
        <v>Call Spread</v>
      </c>
      <c r="O413" s="18" t="str">
        <f t="shared" si="4"/>
        <v>Success</v>
      </c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</row>
    <row r="414">
      <c r="A414" s="13" t="s">
        <v>437</v>
      </c>
      <c r="B414" s="26" t="s">
        <v>47</v>
      </c>
      <c r="C414" s="15">
        <v>264.09</v>
      </c>
      <c r="D414" s="13" t="s">
        <v>48</v>
      </c>
      <c r="E414" s="15">
        <v>286.23</v>
      </c>
      <c r="F414" s="15">
        <v>1.0</v>
      </c>
      <c r="G414" s="15">
        <v>4.0</v>
      </c>
      <c r="H414" s="15">
        <v>5.0</v>
      </c>
      <c r="I414" s="16">
        <v>1.75743679463756</v>
      </c>
      <c r="J414" s="17">
        <f>IFERROR(__xludf.DUMMYFUNCTION("INDEX(GOOGLEFINANCE(A414, ""open"", $J$1, $J$1), 2, 2)"),273.05)</f>
        <v>273.05</v>
      </c>
      <c r="K414" s="17">
        <f>IFERROR(__xludf.DUMMYFUNCTION("INDEX(GOOGLEFINANCE(A414, ""close"", $K$1, $K$1), 2, 2)"),279.2)</f>
        <v>279.2</v>
      </c>
      <c r="L414" s="20">
        <f t="shared" si="1"/>
        <v>-2.252334737</v>
      </c>
      <c r="M414" s="18">
        <f t="shared" si="2"/>
        <v>-22.52334737</v>
      </c>
      <c r="N414" s="18" t="str">
        <f t="shared" si="3"/>
        <v>Call Spread</v>
      </c>
      <c r="O414" s="18" t="str">
        <f t="shared" si="4"/>
        <v>Success</v>
      </c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</row>
    <row r="415">
      <c r="A415" s="13" t="s">
        <v>438</v>
      </c>
      <c r="B415" s="14" t="s">
        <v>18</v>
      </c>
      <c r="C415" s="15">
        <v>71.18</v>
      </c>
      <c r="D415" s="13" t="s">
        <v>19</v>
      </c>
      <c r="E415" s="15">
        <v>56.42</v>
      </c>
      <c r="F415" s="15">
        <v>5.0</v>
      </c>
      <c r="G415" s="15">
        <v>2.0</v>
      </c>
      <c r="H415" s="15">
        <v>4.0</v>
      </c>
      <c r="I415" s="16">
        <v>1.09412209110843</v>
      </c>
      <c r="J415" s="17">
        <f>IFERROR(__xludf.DUMMYFUNCTION("INDEX(GOOGLEFINANCE(A415, ""open"", $J$1, $J$1), 2, 2)"),64.23)</f>
        <v>64.23</v>
      </c>
      <c r="K415" s="17">
        <f>IFERROR(__xludf.DUMMYFUNCTION("INDEX(GOOGLEFINANCE(A415, ""close"", $K$1, $K$1), 2, 2)"),62.79)</f>
        <v>62.79</v>
      </c>
      <c r="L415" s="8">
        <f t="shared" si="1"/>
        <v>-2.241943017</v>
      </c>
      <c r="M415" s="18">
        <f t="shared" si="2"/>
        <v>-22.41943017</v>
      </c>
      <c r="N415" s="18" t="str">
        <f t="shared" si="3"/>
        <v>Put Spread</v>
      </c>
      <c r="O415" s="18" t="str">
        <f t="shared" si="4"/>
        <v>Success</v>
      </c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</row>
    <row r="416">
      <c r="A416" s="13" t="s">
        <v>439</v>
      </c>
      <c r="B416" s="14" t="s">
        <v>18</v>
      </c>
      <c r="C416" s="15">
        <v>6.98</v>
      </c>
      <c r="D416" s="13" t="s">
        <v>19</v>
      </c>
      <c r="E416" s="15">
        <v>5.44</v>
      </c>
      <c r="F416" s="15">
        <v>2.0</v>
      </c>
      <c r="G416" s="15">
        <v>2.0</v>
      </c>
      <c r="H416" s="15">
        <v>1.0</v>
      </c>
      <c r="I416" s="16">
        <v>0.201224899260876</v>
      </c>
      <c r="J416" s="17">
        <f>IFERROR(__xludf.DUMMYFUNCTION("INDEX(GOOGLEFINANCE(A416, ""open"", $J$1, $J$1), 2, 2)"),6.31)</f>
        <v>6.31</v>
      </c>
      <c r="K416" s="17">
        <f>IFERROR(__xludf.DUMMYFUNCTION("INDEX(GOOGLEFINANCE(A416, ""close"", $K$1, $K$1), 2, 2)"),6.17)</f>
        <v>6.17</v>
      </c>
      <c r="L416" s="8">
        <f t="shared" si="1"/>
        <v>-2.218700475</v>
      </c>
      <c r="M416" s="18">
        <f t="shared" si="2"/>
        <v>-22.18700475</v>
      </c>
      <c r="N416" s="18" t="str">
        <f t="shared" si="3"/>
        <v>Put Spread</v>
      </c>
      <c r="O416" s="18" t="str">
        <f t="shared" si="4"/>
        <v>Success</v>
      </c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</row>
    <row r="417">
      <c r="A417" s="13" t="s">
        <v>440</v>
      </c>
      <c r="B417" s="14" t="s">
        <v>18</v>
      </c>
      <c r="C417" s="15">
        <v>250.32</v>
      </c>
      <c r="D417" s="13" t="s">
        <v>19</v>
      </c>
      <c r="E417" s="15">
        <v>236.78</v>
      </c>
      <c r="F417" s="15">
        <v>5.0</v>
      </c>
      <c r="G417" s="15">
        <v>1.0</v>
      </c>
      <c r="H417" s="15">
        <v>3.0</v>
      </c>
      <c r="I417" s="16">
        <v>0.0</v>
      </c>
      <c r="J417" s="17">
        <f>IFERROR(__xludf.DUMMYFUNCTION("INDEX(GOOGLEFINANCE(A417, ""open"", $J$1, $J$1), 2, 2)"),242.58)</f>
        <v>242.58</v>
      </c>
      <c r="K417" s="17">
        <f>IFERROR(__xludf.DUMMYFUNCTION("INDEX(GOOGLEFINANCE(A417, ""close"", $K$1, $K$1), 2, 2)"),237.2)</f>
        <v>237.2</v>
      </c>
      <c r="L417" s="8">
        <f t="shared" si="1"/>
        <v>-2.217825047</v>
      </c>
      <c r="M417" s="18">
        <f t="shared" si="2"/>
        <v>-22.17825047</v>
      </c>
      <c r="N417" s="18" t="str">
        <f t="shared" si="3"/>
        <v>Put Spread</v>
      </c>
      <c r="O417" s="18" t="str">
        <f t="shared" si="4"/>
        <v>Success</v>
      </c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</row>
    <row r="418">
      <c r="A418" s="13" t="s">
        <v>441</v>
      </c>
      <c r="B418" s="14" t="s">
        <v>18</v>
      </c>
      <c r="C418" s="15">
        <v>50.47</v>
      </c>
      <c r="D418" s="13" t="s">
        <v>19</v>
      </c>
      <c r="E418" s="15">
        <v>48.55</v>
      </c>
      <c r="F418" s="15">
        <v>3.0</v>
      </c>
      <c r="G418" s="15">
        <v>1.0</v>
      </c>
      <c r="H418" s="15">
        <v>5.0</v>
      </c>
      <c r="I418" s="16">
        <v>0.0</v>
      </c>
      <c r="J418" s="17">
        <f>IFERROR(__xludf.DUMMYFUNCTION("INDEX(GOOGLEFINANCE(A418, ""open"", $J$1, $J$1), 2, 2)"),49.29)</f>
        <v>49.29</v>
      </c>
      <c r="K418" s="17">
        <f>IFERROR(__xludf.DUMMYFUNCTION("INDEX(GOOGLEFINANCE(A418, ""close"", $K$1, $K$1), 2, 2)"),48.2)</f>
        <v>48.2</v>
      </c>
      <c r="L418" s="20">
        <f t="shared" si="1"/>
        <v>-2.211401907</v>
      </c>
      <c r="M418" s="18">
        <f t="shared" si="2"/>
        <v>-22.11401907</v>
      </c>
      <c r="N418" s="18" t="str">
        <f t="shared" si="3"/>
        <v>Put Spread</v>
      </c>
      <c r="O418" s="18" t="str">
        <f t="shared" si="4"/>
        <v>No</v>
      </c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</row>
    <row r="419">
      <c r="A419" s="13" t="s">
        <v>442</v>
      </c>
      <c r="B419" s="14" t="s">
        <v>18</v>
      </c>
      <c r="C419" s="15">
        <v>58.19</v>
      </c>
      <c r="D419" s="13" t="s">
        <v>19</v>
      </c>
      <c r="E419" s="15">
        <v>53.51</v>
      </c>
      <c r="F419" s="15">
        <v>4.0</v>
      </c>
      <c r="G419" s="15">
        <v>3.0</v>
      </c>
      <c r="H419" s="15">
        <v>2.0</v>
      </c>
      <c r="I419" s="16">
        <v>0.0</v>
      </c>
      <c r="J419" s="17">
        <f>IFERROR(__xludf.DUMMYFUNCTION("INDEX(GOOGLEFINANCE(A419, ""open"", $J$1, $J$1), 2, 2)"),55.71)</f>
        <v>55.71</v>
      </c>
      <c r="K419" s="17">
        <f>IFERROR(__xludf.DUMMYFUNCTION("INDEX(GOOGLEFINANCE(A419, ""close"", $K$1, $K$1), 2, 2)"),54.48)</f>
        <v>54.48</v>
      </c>
      <c r="L419" s="8">
        <f t="shared" si="1"/>
        <v>-2.207862143</v>
      </c>
      <c r="M419" s="18">
        <f t="shared" si="2"/>
        <v>-22.07862143</v>
      </c>
      <c r="N419" s="18" t="str">
        <f t="shared" si="3"/>
        <v>Put Spread</v>
      </c>
      <c r="O419" s="18" t="str">
        <f t="shared" si="4"/>
        <v>Success</v>
      </c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</row>
    <row r="420">
      <c r="A420" s="13" t="s">
        <v>443</v>
      </c>
      <c r="B420" s="14" t="s">
        <v>18</v>
      </c>
      <c r="C420" s="15">
        <v>62.71</v>
      </c>
      <c r="D420" s="13" t="s">
        <v>19</v>
      </c>
      <c r="E420" s="15">
        <v>60.29</v>
      </c>
      <c r="F420" s="15">
        <v>5.0</v>
      </c>
      <c r="G420" s="15">
        <v>1.0</v>
      </c>
      <c r="H420" s="15">
        <v>5.0</v>
      </c>
      <c r="I420" s="16">
        <v>0.0</v>
      </c>
      <c r="J420" s="17">
        <f>IFERROR(__xludf.DUMMYFUNCTION("INDEX(GOOGLEFINANCE(A420, ""open"", $J$1, $J$1), 2, 2)"),61.24)</f>
        <v>61.24</v>
      </c>
      <c r="K420" s="17">
        <f>IFERROR(__xludf.DUMMYFUNCTION("INDEX(GOOGLEFINANCE(A420, ""close"", $K$1, $K$1), 2, 2)"),59.9)</f>
        <v>59.9</v>
      </c>
      <c r="L420" s="8">
        <f t="shared" si="1"/>
        <v>-2.188112345</v>
      </c>
      <c r="M420" s="18">
        <f t="shared" si="2"/>
        <v>-21.88112345</v>
      </c>
      <c r="N420" s="18" t="str">
        <f t="shared" si="3"/>
        <v>Put Spread</v>
      </c>
      <c r="O420" s="18" t="str">
        <f t="shared" si="4"/>
        <v>No</v>
      </c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</row>
    <row r="421">
      <c r="A421" s="13" t="s">
        <v>444</v>
      </c>
      <c r="B421" s="14" t="s">
        <v>18</v>
      </c>
      <c r="C421" s="15">
        <v>32.4</v>
      </c>
      <c r="D421" s="13" t="s">
        <v>19</v>
      </c>
      <c r="E421" s="15">
        <v>30.82</v>
      </c>
      <c r="F421" s="15">
        <v>5.0</v>
      </c>
      <c r="G421" s="15">
        <v>3.0</v>
      </c>
      <c r="H421" s="15">
        <v>5.0</v>
      </c>
      <c r="I421" s="16">
        <v>-0.5675932</v>
      </c>
      <c r="J421" s="17">
        <f>IFERROR(__xludf.DUMMYFUNCTION("INDEX(GOOGLEFINANCE(A421, ""open"", $J$1, $J$1), 2, 2)"),31.64)</f>
        <v>31.64</v>
      </c>
      <c r="K421" s="17">
        <f>IFERROR(__xludf.DUMMYFUNCTION("INDEX(GOOGLEFINANCE(A421, ""close"", $K$1, $K$1), 2, 2)"),30.96)</f>
        <v>30.96</v>
      </c>
      <c r="L421" s="8">
        <f t="shared" si="1"/>
        <v>-2.149178255</v>
      </c>
      <c r="M421" s="18">
        <f t="shared" si="2"/>
        <v>-21.49178255</v>
      </c>
      <c r="N421" s="18" t="str">
        <f t="shared" si="3"/>
        <v>Put Spread</v>
      </c>
      <c r="O421" s="18" t="str">
        <f t="shared" si="4"/>
        <v>Success</v>
      </c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</row>
    <row r="422">
      <c r="A422" s="13" t="s">
        <v>445</v>
      </c>
      <c r="B422" s="14" t="s">
        <v>18</v>
      </c>
      <c r="C422" s="15">
        <v>114.85</v>
      </c>
      <c r="D422" s="13" t="s">
        <v>19</v>
      </c>
      <c r="E422" s="15">
        <v>101.83</v>
      </c>
      <c r="F422" s="15">
        <v>3.0</v>
      </c>
      <c r="G422" s="15">
        <v>2.0</v>
      </c>
      <c r="H422" s="15">
        <v>5.0</v>
      </c>
      <c r="I422" s="16">
        <v>-0.9021817</v>
      </c>
      <c r="J422" s="17">
        <f>IFERROR(__xludf.DUMMYFUNCTION("INDEX(GOOGLEFINANCE(A422, ""open"", $J$1, $J$1), 2, 2)"),108.67)</f>
        <v>108.67</v>
      </c>
      <c r="K422" s="17">
        <f>IFERROR(__xludf.DUMMYFUNCTION("INDEX(GOOGLEFINANCE(A422, ""close"", $K$1, $K$1), 2, 2)"),106.31)</f>
        <v>106.31</v>
      </c>
      <c r="L422" s="8">
        <f t="shared" si="1"/>
        <v>-2.171712524</v>
      </c>
      <c r="M422" s="18">
        <f t="shared" si="2"/>
        <v>-21.71712524</v>
      </c>
      <c r="N422" s="18" t="str">
        <f t="shared" si="3"/>
        <v>Put Spread</v>
      </c>
      <c r="O422" s="18" t="str">
        <f t="shared" si="4"/>
        <v>Success</v>
      </c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</row>
    <row r="423">
      <c r="A423" s="13" t="s">
        <v>446</v>
      </c>
      <c r="B423" s="26" t="s">
        <v>47</v>
      </c>
      <c r="C423" s="15">
        <v>30.67</v>
      </c>
      <c r="D423" s="13" t="s">
        <v>48</v>
      </c>
      <c r="E423" s="15">
        <v>34.39</v>
      </c>
      <c r="F423" s="15">
        <v>1.0</v>
      </c>
      <c r="G423" s="15">
        <v>2.0</v>
      </c>
      <c r="H423" s="15">
        <v>1.0</v>
      </c>
      <c r="I423" s="16">
        <v>0.0</v>
      </c>
      <c r="J423" s="17">
        <f>IFERROR(__xludf.DUMMYFUNCTION("INDEX(GOOGLEFINANCE(A423, ""open"", $J$1, $J$1), 2, 2)"),32.96)</f>
        <v>32.96</v>
      </c>
      <c r="K423" s="17">
        <f>IFERROR(__xludf.DUMMYFUNCTION("INDEX(GOOGLEFINANCE(A423, ""close"", $K$1, $K$1), 2, 2)"),33.67)</f>
        <v>33.67</v>
      </c>
      <c r="L423" s="8">
        <f t="shared" si="1"/>
        <v>-2.154126214</v>
      </c>
      <c r="M423" s="18">
        <f t="shared" si="2"/>
        <v>-21.54126214</v>
      </c>
      <c r="N423" s="18" t="str">
        <f t="shared" si="3"/>
        <v>Call Spread</v>
      </c>
      <c r="O423" s="18" t="str">
        <f t="shared" si="4"/>
        <v>Success</v>
      </c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</row>
    <row r="424">
      <c r="A424" s="13" t="s">
        <v>447</v>
      </c>
      <c r="B424" s="14" t="s">
        <v>18</v>
      </c>
      <c r="C424" s="15">
        <v>47.83</v>
      </c>
      <c r="D424" s="13" t="s">
        <v>19</v>
      </c>
      <c r="E424" s="15">
        <v>44.92</v>
      </c>
      <c r="F424" s="15">
        <v>2.0</v>
      </c>
      <c r="G424" s="15">
        <v>1.0</v>
      </c>
      <c r="H424" s="15">
        <v>5.0</v>
      </c>
      <c r="I424" s="16">
        <v>0.0</v>
      </c>
      <c r="J424" s="17">
        <f>IFERROR(__xludf.DUMMYFUNCTION("INDEX(GOOGLEFINANCE(A424, ""open"", $J$1, $J$1), 2, 2)"),46.7)</f>
        <v>46.7</v>
      </c>
      <c r="K424" s="17">
        <f>IFERROR(__xludf.DUMMYFUNCTION("INDEX(GOOGLEFINANCE(A424, ""close"", $K$1, $K$1), 2, 2)"),45.7)</f>
        <v>45.7</v>
      </c>
      <c r="L424" s="8">
        <f t="shared" si="1"/>
        <v>-2.141327623</v>
      </c>
      <c r="M424" s="18">
        <f t="shared" si="2"/>
        <v>-21.41327623</v>
      </c>
      <c r="N424" s="18" t="str">
        <f t="shared" si="3"/>
        <v>Put Spread</v>
      </c>
      <c r="O424" s="18" t="str">
        <f t="shared" si="4"/>
        <v>Success</v>
      </c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</row>
    <row r="425">
      <c r="A425" s="13" t="s">
        <v>448</v>
      </c>
      <c r="B425" s="14" t="s">
        <v>18</v>
      </c>
      <c r="C425" s="15">
        <v>134.34</v>
      </c>
      <c r="D425" s="13" t="s">
        <v>19</v>
      </c>
      <c r="E425" s="15">
        <v>125.72</v>
      </c>
      <c r="F425" s="15">
        <v>4.0</v>
      </c>
      <c r="G425" s="15">
        <v>0.0</v>
      </c>
      <c r="H425" s="15">
        <v>4.0</v>
      </c>
      <c r="I425" s="16">
        <v>0.0</v>
      </c>
      <c r="J425" s="17">
        <f>IFERROR(__xludf.DUMMYFUNCTION("INDEX(GOOGLEFINANCE(A425, ""open"", $J$1, $J$1), 2, 2)"),129.83)</f>
        <v>129.83</v>
      </c>
      <c r="K425" s="17">
        <f>IFERROR(__xludf.DUMMYFUNCTION("INDEX(GOOGLEFINANCE(A425, ""close"", $K$1, $K$1), 2, 2)"),127.06)</f>
        <v>127.06</v>
      </c>
      <c r="L425" s="8">
        <f t="shared" si="1"/>
        <v>-2.13355927</v>
      </c>
      <c r="M425" s="18">
        <f t="shared" si="2"/>
        <v>-21.3355927</v>
      </c>
      <c r="N425" s="18" t="str">
        <f t="shared" si="3"/>
        <v>Put Spread</v>
      </c>
      <c r="O425" s="18" t="str">
        <f t="shared" si="4"/>
        <v>Success</v>
      </c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</row>
    <row r="426">
      <c r="A426" s="13" t="s">
        <v>449</v>
      </c>
      <c r="B426" s="14" t="s">
        <v>18</v>
      </c>
      <c r="C426" s="15">
        <v>51.86</v>
      </c>
      <c r="D426" s="13" t="s">
        <v>19</v>
      </c>
      <c r="E426" s="15">
        <v>49.82</v>
      </c>
      <c r="F426" s="15">
        <v>4.0</v>
      </c>
      <c r="G426" s="15">
        <v>1.0</v>
      </c>
      <c r="H426" s="15">
        <v>5.0</v>
      </c>
      <c r="I426" s="16">
        <v>0.0</v>
      </c>
      <c r="J426" s="17">
        <f>IFERROR(__xludf.DUMMYFUNCTION("INDEX(GOOGLEFINANCE(A426, ""open"", $J$1, $J$1), 2, 2)"),50.62)</f>
        <v>50.62</v>
      </c>
      <c r="K426" s="17">
        <f>IFERROR(__xludf.DUMMYFUNCTION("INDEX(GOOGLEFINANCE(A426, ""close"", $K$1, $K$1), 2, 2)"),49.54)</f>
        <v>49.54</v>
      </c>
      <c r="L426" s="8">
        <f t="shared" si="1"/>
        <v>-2.133544054</v>
      </c>
      <c r="M426" s="18">
        <f t="shared" si="2"/>
        <v>-21.33544054</v>
      </c>
      <c r="N426" s="18" t="str">
        <f t="shared" si="3"/>
        <v>Put Spread</v>
      </c>
      <c r="O426" s="18" t="str">
        <f t="shared" si="4"/>
        <v>No</v>
      </c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</row>
    <row r="427">
      <c r="A427" s="13" t="s">
        <v>450</v>
      </c>
      <c r="B427" s="14" t="s">
        <v>18</v>
      </c>
      <c r="C427" s="15">
        <v>59.52</v>
      </c>
      <c r="D427" s="13" t="s">
        <v>19</v>
      </c>
      <c r="E427" s="15">
        <v>56.0</v>
      </c>
      <c r="F427" s="15">
        <v>3.0</v>
      </c>
      <c r="G427" s="15">
        <v>1.0</v>
      </c>
      <c r="H427" s="15">
        <v>5.0</v>
      </c>
      <c r="I427" s="16">
        <v>0.0</v>
      </c>
      <c r="J427" s="17">
        <f>IFERROR(__xludf.DUMMYFUNCTION("INDEX(GOOGLEFINANCE(A427, ""open"", $J$1, $J$1), 2, 2)"),57.96)</f>
        <v>57.96</v>
      </c>
      <c r="K427" s="17">
        <f>IFERROR(__xludf.DUMMYFUNCTION("INDEX(GOOGLEFINANCE(A427, ""close"", $K$1, $K$1), 2, 2)"),56.73)</f>
        <v>56.73</v>
      </c>
      <c r="L427" s="8">
        <f t="shared" si="1"/>
        <v>-2.122153209</v>
      </c>
      <c r="M427" s="18">
        <f t="shared" si="2"/>
        <v>-21.22153209</v>
      </c>
      <c r="N427" s="18" t="str">
        <f t="shared" si="3"/>
        <v>Put Spread</v>
      </c>
      <c r="O427" s="18" t="str">
        <f t="shared" si="4"/>
        <v>Success</v>
      </c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</row>
    <row r="428">
      <c r="A428" s="13" t="s">
        <v>451</v>
      </c>
      <c r="B428" s="26" t="s">
        <v>47</v>
      </c>
      <c r="C428" s="15">
        <v>155.83</v>
      </c>
      <c r="D428" s="13" t="s">
        <v>48</v>
      </c>
      <c r="E428" s="15">
        <v>166.01</v>
      </c>
      <c r="F428" s="15">
        <v>0.0</v>
      </c>
      <c r="G428" s="15">
        <v>1.0</v>
      </c>
      <c r="H428" s="15">
        <v>1.0</v>
      </c>
      <c r="I428" s="16">
        <v>0.0</v>
      </c>
      <c r="J428" s="17">
        <f>IFERROR(__xludf.DUMMYFUNCTION("INDEX(GOOGLEFINANCE(A428, ""open"", $J$1, $J$1), 2, 2)"),159.6)</f>
        <v>159.6</v>
      </c>
      <c r="K428" s="17">
        <f>IFERROR(__xludf.DUMMYFUNCTION("INDEX(GOOGLEFINANCE(A428, ""close"", $K$1, $K$1), 2, 2)"),162.96)</f>
        <v>162.96</v>
      </c>
      <c r="L428" s="8">
        <f t="shared" si="1"/>
        <v>-2.105263158</v>
      </c>
      <c r="M428" s="18">
        <f t="shared" si="2"/>
        <v>-21.05263158</v>
      </c>
      <c r="N428" s="18" t="str">
        <f t="shared" si="3"/>
        <v>Call Spread</v>
      </c>
      <c r="O428" s="18" t="str">
        <f t="shared" si="4"/>
        <v>Success</v>
      </c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</row>
    <row r="429">
      <c r="A429" s="13" t="s">
        <v>452</v>
      </c>
      <c r="B429" s="14" t="s">
        <v>18</v>
      </c>
      <c r="C429" s="15">
        <v>116.18</v>
      </c>
      <c r="D429" s="13" t="s">
        <v>19</v>
      </c>
      <c r="E429" s="15">
        <v>111.54</v>
      </c>
      <c r="F429" s="15">
        <v>4.0</v>
      </c>
      <c r="G429" s="15">
        <v>1.0</v>
      </c>
      <c r="H429" s="15">
        <v>4.0</v>
      </c>
      <c r="I429" s="16">
        <v>-1.3778603</v>
      </c>
      <c r="J429" s="17">
        <f>IFERROR(__xludf.DUMMYFUNCTION("INDEX(GOOGLEFINANCE(A429, ""open"", $J$1, $J$1), 2, 2)"),114.12)</f>
        <v>114.12</v>
      </c>
      <c r="K429" s="17">
        <f>IFERROR(__xludf.DUMMYFUNCTION("INDEX(GOOGLEFINANCE(A429, ""close"", $K$1, $K$1), 2, 2)"),111.72)</f>
        <v>111.72</v>
      </c>
      <c r="L429" s="8">
        <f t="shared" si="1"/>
        <v>-2.103049422</v>
      </c>
      <c r="M429" s="18">
        <f t="shared" si="2"/>
        <v>-21.03049422</v>
      </c>
      <c r="N429" s="18" t="str">
        <f t="shared" si="3"/>
        <v>Put Spread</v>
      </c>
      <c r="O429" s="18" t="str">
        <f t="shared" si="4"/>
        <v>Success</v>
      </c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</row>
    <row r="430">
      <c r="A430" s="13" t="s">
        <v>453</v>
      </c>
      <c r="B430" s="14" t="s">
        <v>18</v>
      </c>
      <c r="C430" s="15">
        <v>37.12</v>
      </c>
      <c r="D430" s="13" t="s">
        <v>19</v>
      </c>
      <c r="E430" s="15">
        <v>34.4</v>
      </c>
      <c r="F430" s="15">
        <v>4.0</v>
      </c>
      <c r="G430" s="15">
        <v>3.0</v>
      </c>
      <c r="H430" s="15">
        <v>5.0</v>
      </c>
      <c r="I430" s="16">
        <v>0.0</v>
      </c>
      <c r="J430" s="17">
        <f>IFERROR(__xludf.DUMMYFUNCTION("INDEX(GOOGLEFINANCE(A430, ""open"", $J$1, $J$1), 2, 2)"),35.76)</f>
        <v>35.76</v>
      </c>
      <c r="K430" s="17">
        <f>IFERROR(__xludf.DUMMYFUNCTION("INDEX(GOOGLEFINANCE(A430, ""close"", $K$1, $K$1), 2, 2)"),35.01)</f>
        <v>35.01</v>
      </c>
      <c r="L430" s="8">
        <f t="shared" si="1"/>
        <v>-2.097315436</v>
      </c>
      <c r="M430" s="18">
        <f t="shared" si="2"/>
        <v>-20.97315436</v>
      </c>
      <c r="N430" s="18" t="str">
        <f t="shared" si="3"/>
        <v>Put Spread</v>
      </c>
      <c r="O430" s="18" t="str">
        <f t="shared" si="4"/>
        <v>Success</v>
      </c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</row>
    <row r="431">
      <c r="A431" s="13" t="s">
        <v>454</v>
      </c>
      <c r="B431" s="14" t="s">
        <v>18</v>
      </c>
      <c r="C431" s="15">
        <v>74.25</v>
      </c>
      <c r="D431" s="13" t="s">
        <v>19</v>
      </c>
      <c r="E431" s="15">
        <v>69.45</v>
      </c>
      <c r="F431" s="15">
        <v>4.0</v>
      </c>
      <c r="G431" s="15">
        <v>2.0</v>
      </c>
      <c r="H431" s="15">
        <v>1.0</v>
      </c>
      <c r="I431" s="16">
        <v>0.0</v>
      </c>
      <c r="J431" s="17">
        <f>IFERROR(__xludf.DUMMYFUNCTION("INDEX(GOOGLEFINANCE(A431, ""open"", $J$1, $J$1), 2, 2)"),71.9)</f>
        <v>71.9</v>
      </c>
      <c r="K431" s="17">
        <f>IFERROR(__xludf.DUMMYFUNCTION("INDEX(GOOGLEFINANCE(A431, ""close"", $K$1, $K$1), 2, 2)"),70.4)</f>
        <v>70.4</v>
      </c>
      <c r="L431" s="8">
        <f t="shared" si="1"/>
        <v>-2.086230876</v>
      </c>
      <c r="M431" s="18">
        <f t="shared" si="2"/>
        <v>-20.86230876</v>
      </c>
      <c r="N431" s="18" t="str">
        <f t="shared" si="3"/>
        <v>Put Spread</v>
      </c>
      <c r="O431" s="18" t="str">
        <f t="shared" si="4"/>
        <v>Success</v>
      </c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</row>
    <row r="432">
      <c r="A432" s="13" t="s">
        <v>455</v>
      </c>
      <c r="B432" s="14" t="s">
        <v>18</v>
      </c>
      <c r="C432" s="15">
        <v>63.63</v>
      </c>
      <c r="D432" s="13" t="s">
        <v>19</v>
      </c>
      <c r="E432" s="15">
        <v>59.84</v>
      </c>
      <c r="F432" s="15">
        <v>5.0</v>
      </c>
      <c r="G432" s="15">
        <v>2.0</v>
      </c>
      <c r="H432" s="15">
        <v>4.0</v>
      </c>
      <c r="I432" s="16">
        <v>-1.3035472</v>
      </c>
      <c r="J432" s="17">
        <f>IFERROR(__xludf.DUMMYFUNCTION("INDEX(GOOGLEFINANCE(A432, ""open"", $J$1, $J$1), 2, 2)"),61.9)</f>
        <v>61.9</v>
      </c>
      <c r="K432" s="17">
        <f>IFERROR(__xludf.DUMMYFUNCTION("INDEX(GOOGLEFINANCE(A432, ""close"", $K$1, $K$1), 2, 2)"),60.51)</f>
        <v>60.51</v>
      </c>
      <c r="L432" s="8">
        <f t="shared" si="1"/>
        <v>-2.245557351</v>
      </c>
      <c r="M432" s="18">
        <f t="shared" si="2"/>
        <v>-22.45557351</v>
      </c>
      <c r="N432" s="18" t="str">
        <f t="shared" si="3"/>
        <v>Put Spread</v>
      </c>
      <c r="O432" s="18" t="str">
        <f t="shared" si="4"/>
        <v>Success</v>
      </c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</row>
    <row r="433">
      <c r="A433" s="13" t="s">
        <v>456</v>
      </c>
      <c r="B433" s="14" t="s">
        <v>18</v>
      </c>
      <c r="C433" s="15">
        <v>100.51</v>
      </c>
      <c r="D433" s="13" t="s">
        <v>19</v>
      </c>
      <c r="E433" s="15">
        <v>96.61</v>
      </c>
      <c r="F433" s="15">
        <v>2.0</v>
      </c>
      <c r="G433" s="15">
        <v>2.0</v>
      </c>
      <c r="H433" s="15">
        <v>4.0</v>
      </c>
      <c r="I433" s="16">
        <v>-1.2118224</v>
      </c>
      <c r="J433" s="17">
        <f>IFERROR(__xludf.DUMMYFUNCTION("INDEX(GOOGLEFINANCE(A433, ""open"", $J$1, $J$1), 2, 2)"),98.79)</f>
        <v>98.79</v>
      </c>
      <c r="K433" s="17">
        <f>IFERROR(__xludf.DUMMYFUNCTION("INDEX(GOOGLEFINANCE(A433, ""close"", $K$1, $K$1), 2, 2)"),96.76)</f>
        <v>96.76</v>
      </c>
      <c r="L433" s="8">
        <f t="shared" si="1"/>
        <v>-2.054863853</v>
      </c>
      <c r="M433" s="18">
        <f t="shared" si="2"/>
        <v>-20.54863853</v>
      </c>
      <c r="N433" s="18" t="str">
        <f t="shared" si="3"/>
        <v>Put Spread</v>
      </c>
      <c r="O433" s="18" t="str">
        <f t="shared" si="4"/>
        <v>Success</v>
      </c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</row>
    <row r="434">
      <c r="A434" s="13" t="s">
        <v>457</v>
      </c>
      <c r="B434" s="14" t="s">
        <v>18</v>
      </c>
      <c r="C434" s="15">
        <v>202.41</v>
      </c>
      <c r="D434" s="13" t="s">
        <v>19</v>
      </c>
      <c r="E434" s="15">
        <v>194.13</v>
      </c>
      <c r="F434" s="15">
        <v>3.0</v>
      </c>
      <c r="G434" s="15">
        <v>2.0</v>
      </c>
      <c r="H434" s="15">
        <v>5.0</v>
      </c>
      <c r="I434" s="16">
        <v>0.0</v>
      </c>
      <c r="J434" s="17">
        <f>IFERROR(__xludf.DUMMYFUNCTION("INDEX(GOOGLEFINANCE(A434, ""open"", $J$1, $J$1), 2, 2)"),199.88)</f>
        <v>199.88</v>
      </c>
      <c r="K434" s="17">
        <f>IFERROR(__xludf.DUMMYFUNCTION("INDEX(GOOGLEFINANCE(A434, ""close"", $K$1, $K$1), 2, 2)"),195.78)</f>
        <v>195.78</v>
      </c>
      <c r="L434" s="8">
        <f t="shared" si="1"/>
        <v>-2.051230738</v>
      </c>
      <c r="M434" s="18">
        <f t="shared" si="2"/>
        <v>-20.51230738</v>
      </c>
      <c r="N434" s="18" t="str">
        <f t="shared" si="3"/>
        <v>Put Spread</v>
      </c>
      <c r="O434" s="18" t="str">
        <f t="shared" si="4"/>
        <v>Success</v>
      </c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</row>
    <row r="435">
      <c r="A435" s="13" t="s">
        <v>458</v>
      </c>
      <c r="B435" s="14" t="s">
        <v>18</v>
      </c>
      <c r="C435" s="15">
        <v>569.13</v>
      </c>
      <c r="D435" s="13" t="s">
        <v>19</v>
      </c>
      <c r="E435" s="15">
        <v>542.65</v>
      </c>
      <c r="F435" s="15">
        <v>3.0</v>
      </c>
      <c r="G435" s="15">
        <v>2.0</v>
      </c>
      <c r="H435" s="15">
        <v>5.0</v>
      </c>
      <c r="I435" s="16">
        <v>1.60998929046761</v>
      </c>
      <c r="J435" s="17">
        <f>IFERROR(__xludf.DUMMYFUNCTION("INDEX(GOOGLEFINANCE(A435, ""open"", $J$1, $J$1), 2, 2)"),556.0)</f>
        <v>556</v>
      </c>
      <c r="K435" s="17">
        <f>IFERROR(__xludf.DUMMYFUNCTION("INDEX(GOOGLEFINANCE(A435, ""close"", $K$1, $K$1), 2, 2)"),544.69)</f>
        <v>544.69</v>
      </c>
      <c r="L435" s="8">
        <f t="shared" si="1"/>
        <v>-2.034172662</v>
      </c>
      <c r="M435" s="18">
        <f t="shared" si="2"/>
        <v>-20.34172662</v>
      </c>
      <c r="N435" s="18" t="str">
        <f t="shared" si="3"/>
        <v>Put Spread</v>
      </c>
      <c r="O435" s="18" t="str">
        <f t="shared" si="4"/>
        <v>Success</v>
      </c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</row>
    <row r="436">
      <c r="A436" s="13" t="s">
        <v>459</v>
      </c>
      <c r="B436" s="14" t="s">
        <v>18</v>
      </c>
      <c r="C436" s="15">
        <v>449.62</v>
      </c>
      <c r="D436" s="13" t="s">
        <v>19</v>
      </c>
      <c r="E436" s="15">
        <v>430.14</v>
      </c>
      <c r="F436" s="15">
        <v>4.0</v>
      </c>
      <c r="G436" s="15">
        <v>1.0</v>
      </c>
      <c r="H436" s="15">
        <v>4.0</v>
      </c>
      <c r="I436" s="16">
        <v>-1.1338298</v>
      </c>
      <c r="J436" s="17">
        <f>IFERROR(__xludf.DUMMYFUNCTION("INDEX(GOOGLEFINANCE(A436, ""open"", $J$1, $J$1), 2, 2)"),440.87)</f>
        <v>440.87</v>
      </c>
      <c r="K436" s="17">
        <f>IFERROR(__xludf.DUMMYFUNCTION("INDEX(GOOGLEFINANCE(A436, ""close"", $K$1, $K$1), 2, 2)"),431.91)</f>
        <v>431.91</v>
      </c>
      <c r="L436" s="8">
        <f t="shared" si="1"/>
        <v>-2.032345136</v>
      </c>
      <c r="M436" s="18">
        <f t="shared" si="2"/>
        <v>-20.32345136</v>
      </c>
      <c r="N436" s="18" t="str">
        <f t="shared" si="3"/>
        <v>Put Spread</v>
      </c>
      <c r="O436" s="18" t="str">
        <f t="shared" si="4"/>
        <v>Success</v>
      </c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</row>
    <row r="437">
      <c r="A437" s="13" t="s">
        <v>460</v>
      </c>
      <c r="B437" s="14" t="s">
        <v>18</v>
      </c>
      <c r="C437" s="15">
        <v>59.56</v>
      </c>
      <c r="D437" s="13" t="s">
        <v>19</v>
      </c>
      <c r="E437" s="15">
        <v>53.78</v>
      </c>
      <c r="F437" s="15">
        <v>2.0</v>
      </c>
      <c r="G437" s="15">
        <v>3.0</v>
      </c>
      <c r="H437" s="15">
        <v>5.0</v>
      </c>
      <c r="I437" s="16">
        <v>0.0</v>
      </c>
      <c r="J437" s="17">
        <f>IFERROR(__xludf.DUMMYFUNCTION("INDEX(GOOGLEFINANCE(A437, ""open"", $J$1, $J$1), 2, 2)"),56.69)</f>
        <v>56.69</v>
      </c>
      <c r="K437" s="17">
        <f>IFERROR(__xludf.DUMMYFUNCTION("INDEX(GOOGLEFINANCE(A437, ""close"", $K$1, $K$1), 2, 2)"),55.54)</f>
        <v>55.54</v>
      </c>
      <c r="L437" s="8">
        <f t="shared" si="1"/>
        <v>-2.028576469</v>
      </c>
      <c r="M437" s="18">
        <f t="shared" si="2"/>
        <v>-20.28576469</v>
      </c>
      <c r="N437" s="18" t="str">
        <f t="shared" si="3"/>
        <v>Put Spread</v>
      </c>
      <c r="O437" s="18" t="str">
        <f t="shared" si="4"/>
        <v>Success</v>
      </c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</row>
    <row r="438">
      <c r="A438" s="13" t="s">
        <v>461</v>
      </c>
      <c r="B438" s="14" t="s">
        <v>18</v>
      </c>
      <c r="C438" s="15">
        <v>150.15</v>
      </c>
      <c r="D438" s="13" t="s">
        <v>19</v>
      </c>
      <c r="E438" s="15">
        <v>144.59</v>
      </c>
      <c r="F438" s="15">
        <v>3.0</v>
      </c>
      <c r="G438" s="15">
        <v>2.0</v>
      </c>
      <c r="H438" s="15">
        <v>4.0</v>
      </c>
      <c r="I438" s="16">
        <v>0.0</v>
      </c>
      <c r="J438" s="17">
        <f>IFERROR(__xludf.DUMMYFUNCTION("INDEX(GOOGLEFINANCE(A438, ""open"", $J$1, $J$1), 2, 2)"),148.1)</f>
        <v>148.1</v>
      </c>
      <c r="K438" s="17">
        <f>IFERROR(__xludf.DUMMYFUNCTION("INDEX(GOOGLEFINANCE(A438, ""close"", $K$1, $K$1), 2, 2)"),145.1)</f>
        <v>145.1</v>
      </c>
      <c r="L438" s="8">
        <f t="shared" si="1"/>
        <v>-2.025658339</v>
      </c>
      <c r="M438" s="18">
        <f t="shared" si="2"/>
        <v>-20.25658339</v>
      </c>
      <c r="N438" s="18" t="str">
        <f t="shared" si="3"/>
        <v>Put Spread</v>
      </c>
      <c r="O438" s="18" t="str">
        <f t="shared" si="4"/>
        <v>Success</v>
      </c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</row>
    <row r="439">
      <c r="A439" s="13" t="s">
        <v>462</v>
      </c>
      <c r="B439" s="14" t="s">
        <v>18</v>
      </c>
      <c r="C439" s="15">
        <v>1667.67</v>
      </c>
      <c r="D439" s="13" t="s">
        <v>19</v>
      </c>
      <c r="E439" s="15">
        <v>1547.23</v>
      </c>
      <c r="F439" s="15">
        <v>3.0</v>
      </c>
      <c r="G439" s="15">
        <v>1.0</v>
      </c>
      <c r="H439" s="15">
        <v>5.0</v>
      </c>
      <c r="I439" s="16">
        <v>0.0</v>
      </c>
      <c r="J439" s="17">
        <f>IFERROR(__xludf.DUMMYFUNCTION("INDEX(GOOGLEFINANCE(A439, ""open"", $J$1, $J$1), 2, 2)"),1617.45)</f>
        <v>1617.45</v>
      </c>
      <c r="K439" s="17">
        <f>IFERROR(__xludf.DUMMYFUNCTION("INDEX(GOOGLEFINANCE(A439, ""close"", $K$1, $K$1), 2, 2)"),1585.0)</f>
        <v>1585</v>
      </c>
      <c r="L439" s="8">
        <f t="shared" si="1"/>
        <v>-2.006244397</v>
      </c>
      <c r="M439" s="18">
        <f t="shared" si="2"/>
        <v>-20.06244397</v>
      </c>
      <c r="N439" s="18" t="str">
        <f t="shared" si="3"/>
        <v>Put Spread</v>
      </c>
      <c r="O439" s="18" t="str">
        <f t="shared" si="4"/>
        <v>Success</v>
      </c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</row>
    <row r="440">
      <c r="A440" s="13" t="s">
        <v>463</v>
      </c>
      <c r="B440" s="14" t="s">
        <v>18</v>
      </c>
      <c r="C440" s="15">
        <v>305.76</v>
      </c>
      <c r="D440" s="13" t="s">
        <v>19</v>
      </c>
      <c r="E440" s="15">
        <v>274.68</v>
      </c>
      <c r="F440" s="15">
        <v>2.0</v>
      </c>
      <c r="G440" s="15">
        <v>2.0</v>
      </c>
      <c r="H440" s="15">
        <v>2.0</v>
      </c>
      <c r="I440" s="16">
        <v>-2.5861939</v>
      </c>
      <c r="J440" s="17">
        <f>IFERROR(__xludf.DUMMYFUNCTION("INDEX(GOOGLEFINANCE(A440, ""open"", $J$1, $J$1), 2, 2)"),290.74)</f>
        <v>290.74</v>
      </c>
      <c r="K440" s="17">
        <f>IFERROR(__xludf.DUMMYFUNCTION("INDEX(GOOGLEFINANCE(A440, ""close"", $K$1, $K$1), 2, 2)"),284.91)</f>
        <v>284.91</v>
      </c>
      <c r="L440" s="8">
        <f t="shared" si="1"/>
        <v>-2.005228039</v>
      </c>
      <c r="M440" s="18">
        <f t="shared" si="2"/>
        <v>-20.05228039</v>
      </c>
      <c r="N440" s="18" t="str">
        <f t="shared" si="3"/>
        <v>Put Spread</v>
      </c>
      <c r="O440" s="18" t="str">
        <f t="shared" si="4"/>
        <v>Success</v>
      </c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</row>
    <row r="441">
      <c r="A441" s="13" t="s">
        <v>464</v>
      </c>
      <c r="B441" s="14" t="s">
        <v>18</v>
      </c>
      <c r="C441" s="15">
        <v>484.58</v>
      </c>
      <c r="D441" s="13" t="s">
        <v>19</v>
      </c>
      <c r="E441" s="15">
        <v>461.2</v>
      </c>
      <c r="F441" s="15">
        <v>5.0</v>
      </c>
      <c r="G441" s="15">
        <v>2.0</v>
      </c>
      <c r="H441" s="15">
        <v>5.0</v>
      </c>
      <c r="I441" s="16">
        <v>0.0</v>
      </c>
      <c r="J441" s="17">
        <f>IFERROR(__xludf.DUMMYFUNCTION("INDEX(GOOGLEFINANCE(A441, ""open"", $J$1, $J$1), 2, 2)"),468.75)</f>
        <v>468.75</v>
      </c>
      <c r="K441" s="17">
        <f>IFERROR(__xludf.DUMMYFUNCTION("INDEX(GOOGLEFINANCE(A441, ""close"", $K$1, $K$1), 2, 2)"),459.41)</f>
        <v>459.41</v>
      </c>
      <c r="L441" s="8">
        <f t="shared" si="1"/>
        <v>-1.992533333</v>
      </c>
      <c r="M441" s="18">
        <f t="shared" si="2"/>
        <v>-19.92533333</v>
      </c>
      <c r="N441" s="18" t="str">
        <f t="shared" si="3"/>
        <v>Put Spread</v>
      </c>
      <c r="O441" s="18" t="str">
        <f t="shared" si="4"/>
        <v>No</v>
      </c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</row>
    <row r="442">
      <c r="A442" s="13" t="s">
        <v>465</v>
      </c>
      <c r="B442" s="14" t="s">
        <v>18</v>
      </c>
      <c r="C442" s="15">
        <v>57.5</v>
      </c>
      <c r="D442" s="13" t="s">
        <v>19</v>
      </c>
      <c r="E442" s="15">
        <v>53.2</v>
      </c>
      <c r="F442" s="15">
        <v>5.0</v>
      </c>
      <c r="G442" s="15">
        <v>2.0</v>
      </c>
      <c r="H442" s="15">
        <v>4.0</v>
      </c>
      <c r="I442" s="16">
        <v>0.755528209144325</v>
      </c>
      <c r="J442" s="17">
        <f>IFERROR(__xludf.DUMMYFUNCTION("INDEX(GOOGLEFINANCE(A442, ""open"", $J$1, $J$1), 2, 2)"),54.93)</f>
        <v>54.93</v>
      </c>
      <c r="K442" s="17">
        <f>IFERROR(__xludf.DUMMYFUNCTION("INDEX(GOOGLEFINANCE(A442, ""close"", $K$1, $K$1), 2, 2)"),53.85)</f>
        <v>53.85</v>
      </c>
      <c r="L442" s="8">
        <f t="shared" si="1"/>
        <v>-1.966138722</v>
      </c>
      <c r="M442" s="18">
        <f t="shared" si="2"/>
        <v>-19.66138722</v>
      </c>
      <c r="N442" s="18" t="str">
        <f t="shared" si="3"/>
        <v>Put Spread</v>
      </c>
      <c r="O442" s="18" t="str">
        <f t="shared" si="4"/>
        <v>Success</v>
      </c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</row>
    <row r="443">
      <c r="A443" s="13" t="s">
        <v>466</v>
      </c>
      <c r="B443" s="14" t="s">
        <v>18</v>
      </c>
      <c r="C443" s="15">
        <v>526.76</v>
      </c>
      <c r="D443" s="13" t="s">
        <v>19</v>
      </c>
      <c r="E443" s="15">
        <v>499.14</v>
      </c>
      <c r="F443" s="15">
        <v>4.0</v>
      </c>
      <c r="G443" s="15">
        <v>1.0</v>
      </c>
      <c r="H443" s="15">
        <v>5.0</v>
      </c>
      <c r="I443" s="16">
        <v>0.0</v>
      </c>
      <c r="J443" s="17">
        <f>IFERROR(__xludf.DUMMYFUNCTION("INDEX(GOOGLEFINANCE(A443, ""open"", $J$1, $J$1), 2, 2)"),511.33)</f>
        <v>511.33</v>
      </c>
      <c r="K443" s="17">
        <f>IFERROR(__xludf.DUMMYFUNCTION("INDEX(GOOGLEFINANCE(A443, ""close"", $K$1, $K$1), 2, 2)"),501.28)</f>
        <v>501.28</v>
      </c>
      <c r="L443" s="20">
        <f t="shared" si="1"/>
        <v>-1.965462617</v>
      </c>
      <c r="M443" s="18">
        <f t="shared" si="2"/>
        <v>-19.65462617</v>
      </c>
      <c r="N443" s="18" t="str">
        <f t="shared" si="3"/>
        <v>Put Spread</v>
      </c>
      <c r="O443" s="18" t="str">
        <f t="shared" si="4"/>
        <v>Success</v>
      </c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</row>
    <row r="444">
      <c r="A444" s="13" t="s">
        <v>467</v>
      </c>
      <c r="B444" s="14" t="s">
        <v>18</v>
      </c>
      <c r="C444" s="15">
        <v>24.85</v>
      </c>
      <c r="D444" s="13" t="s">
        <v>19</v>
      </c>
      <c r="E444" s="15">
        <v>22.45</v>
      </c>
      <c r="F444" s="15">
        <v>4.0</v>
      </c>
      <c r="G444" s="15">
        <v>3.0</v>
      </c>
      <c r="H444" s="15">
        <v>4.0</v>
      </c>
      <c r="I444" s="16">
        <v>-2.7228271</v>
      </c>
      <c r="J444" s="17">
        <f>IFERROR(__xludf.DUMMYFUNCTION("INDEX(GOOGLEFINANCE(A444, ""open"", $J$1, $J$1), 2, 2)"),23.5)</f>
        <v>23.5</v>
      </c>
      <c r="K444" s="17">
        <f>IFERROR(__xludf.DUMMYFUNCTION("INDEX(GOOGLEFINANCE(A444, ""close"", $K$1, $K$1), 2, 2)"),23.04)</f>
        <v>23.04</v>
      </c>
      <c r="L444" s="8">
        <f t="shared" si="1"/>
        <v>-1.957446809</v>
      </c>
      <c r="M444" s="18">
        <f t="shared" si="2"/>
        <v>-19.57446809</v>
      </c>
      <c r="N444" s="18" t="str">
        <f t="shared" si="3"/>
        <v>Put Spread</v>
      </c>
      <c r="O444" s="18" t="str">
        <f t="shared" si="4"/>
        <v>Success</v>
      </c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</row>
    <row r="445">
      <c r="A445" s="13" t="s">
        <v>468</v>
      </c>
      <c r="B445" s="26" t="s">
        <v>47</v>
      </c>
      <c r="C445" s="15">
        <v>163.55</v>
      </c>
      <c r="D445" s="13" t="s">
        <v>48</v>
      </c>
      <c r="E445" s="15">
        <v>173.55</v>
      </c>
      <c r="F445" s="15">
        <v>0.0</v>
      </c>
      <c r="G445" s="15">
        <v>1.0</v>
      </c>
      <c r="H445" s="15">
        <v>2.0</v>
      </c>
      <c r="I445" s="16">
        <v>-1.6356447</v>
      </c>
      <c r="J445" s="17">
        <f>IFERROR(__xludf.DUMMYFUNCTION("INDEX(GOOGLEFINANCE(A445, ""open"", $J$1, $J$1), 2, 2)"),167.59)</f>
        <v>167.59</v>
      </c>
      <c r="K445" s="17">
        <f>IFERROR(__xludf.DUMMYFUNCTION("INDEX(GOOGLEFINANCE(A445, ""close"", $K$1, $K$1), 2, 2)"),170.85)</f>
        <v>170.85</v>
      </c>
      <c r="L445" s="20">
        <f t="shared" si="1"/>
        <v>-1.945223462</v>
      </c>
      <c r="M445" s="18">
        <f t="shared" si="2"/>
        <v>-19.45223462</v>
      </c>
      <c r="N445" s="18" t="str">
        <f t="shared" si="3"/>
        <v>Call Spread</v>
      </c>
      <c r="O445" s="18" t="str">
        <f t="shared" si="4"/>
        <v>Success</v>
      </c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</row>
    <row r="446">
      <c r="A446" s="13" t="s">
        <v>469</v>
      </c>
      <c r="B446" s="14" t="s">
        <v>18</v>
      </c>
      <c r="C446" s="15">
        <v>154.79</v>
      </c>
      <c r="D446" s="13" t="s">
        <v>19</v>
      </c>
      <c r="E446" s="15">
        <v>144.01</v>
      </c>
      <c r="F446" s="15">
        <v>2.0</v>
      </c>
      <c r="G446" s="15">
        <v>4.0</v>
      </c>
      <c r="H446" s="15">
        <v>5.0</v>
      </c>
      <c r="I446" s="16">
        <v>0.0</v>
      </c>
      <c r="J446" s="17">
        <f>IFERROR(__xludf.DUMMYFUNCTION("INDEX(GOOGLEFINANCE(A446, ""open"", $J$1, $J$1), 2, 2)"),149.06)</f>
        <v>149.06</v>
      </c>
      <c r="K446" s="17">
        <f>IFERROR(__xludf.DUMMYFUNCTION("INDEX(GOOGLEFINANCE(A446, ""close"", $K$1, $K$1), 2, 2)"),146.19)</f>
        <v>146.19</v>
      </c>
      <c r="L446" s="8">
        <f t="shared" si="1"/>
        <v>-1.925399168</v>
      </c>
      <c r="M446" s="18">
        <f t="shared" si="2"/>
        <v>-19.25399168</v>
      </c>
      <c r="N446" s="18" t="str">
        <f t="shared" si="3"/>
        <v>Put Spread</v>
      </c>
      <c r="O446" s="18" t="str">
        <f t="shared" si="4"/>
        <v>Success</v>
      </c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</row>
    <row r="447">
      <c r="A447" s="13" t="s">
        <v>470</v>
      </c>
      <c r="B447" s="14" t="s">
        <v>18</v>
      </c>
      <c r="C447" s="15">
        <v>9.85</v>
      </c>
      <c r="D447" s="13" t="s">
        <v>19</v>
      </c>
      <c r="E447" s="15">
        <v>7.97</v>
      </c>
      <c r="F447" s="15">
        <v>5.0</v>
      </c>
      <c r="G447" s="15">
        <v>3.0</v>
      </c>
      <c r="H447" s="15">
        <v>4.0</v>
      </c>
      <c r="I447" s="16">
        <v>0.0</v>
      </c>
      <c r="J447" s="17">
        <f>IFERROR(__xludf.DUMMYFUNCTION("INDEX(GOOGLEFINANCE(A447, ""open"", $J$1, $J$1), 2, 2)"),8.84)</f>
        <v>8.84</v>
      </c>
      <c r="K447" s="17">
        <f>IFERROR(__xludf.DUMMYFUNCTION("INDEX(GOOGLEFINANCE(A447, ""close"", $K$1, $K$1), 2, 2)"),8.67)</f>
        <v>8.67</v>
      </c>
      <c r="L447" s="20">
        <f t="shared" si="1"/>
        <v>-1.923076923</v>
      </c>
      <c r="M447" s="18">
        <f t="shared" si="2"/>
        <v>-19.23076923</v>
      </c>
      <c r="N447" s="18" t="str">
        <f t="shared" si="3"/>
        <v>Put Spread</v>
      </c>
      <c r="O447" s="18" t="str">
        <f t="shared" si="4"/>
        <v>Success</v>
      </c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</row>
    <row r="448">
      <c r="A448" s="13" t="s">
        <v>471</v>
      </c>
      <c r="B448" s="14" t="s">
        <v>18</v>
      </c>
      <c r="C448" s="15">
        <v>20.5</v>
      </c>
      <c r="D448" s="13" t="s">
        <v>19</v>
      </c>
      <c r="E448" s="15">
        <v>19.5</v>
      </c>
      <c r="F448" s="15">
        <v>2.0</v>
      </c>
      <c r="G448" s="15">
        <v>1.0</v>
      </c>
      <c r="H448" s="15">
        <v>1.0</v>
      </c>
      <c r="I448" s="16">
        <v>0.0</v>
      </c>
      <c r="J448" s="17">
        <f>IFERROR(__xludf.DUMMYFUNCTION("INDEX(GOOGLEFINANCE(A448, ""open"", $J$1, $J$1), 2, 2)"),19.99)</f>
        <v>19.99</v>
      </c>
      <c r="K448" s="17">
        <f>IFERROR(__xludf.DUMMYFUNCTION("INDEX(GOOGLEFINANCE(A448, ""close"", $K$1, $K$1), 2, 2)"),19.61)</f>
        <v>19.61</v>
      </c>
      <c r="L448" s="8">
        <f t="shared" si="1"/>
        <v>-1.900950475</v>
      </c>
      <c r="M448" s="18">
        <f t="shared" si="2"/>
        <v>-19.00950475</v>
      </c>
      <c r="N448" s="18" t="str">
        <f t="shared" si="3"/>
        <v>Put Spread</v>
      </c>
      <c r="O448" s="18" t="str">
        <f t="shared" si="4"/>
        <v>Success</v>
      </c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</row>
    <row r="449">
      <c r="A449" s="13" t="s">
        <v>472</v>
      </c>
      <c r="B449" s="14" t="s">
        <v>18</v>
      </c>
      <c r="C449" s="15">
        <v>40.23</v>
      </c>
      <c r="D449" s="13" t="s">
        <v>19</v>
      </c>
      <c r="E449" s="15">
        <v>34.13</v>
      </c>
      <c r="F449" s="15">
        <v>5.0</v>
      </c>
      <c r="G449" s="15">
        <v>2.0</v>
      </c>
      <c r="H449" s="15">
        <v>2.0</v>
      </c>
      <c r="I449" s="16">
        <v>0.0</v>
      </c>
      <c r="J449" s="17">
        <f>IFERROR(__xludf.DUMMYFUNCTION("INDEX(GOOGLEFINANCE(A449, ""open"", $J$1, $J$1), 2, 2)"),37.39)</f>
        <v>37.39</v>
      </c>
      <c r="K449" s="17">
        <f>IFERROR(__xludf.DUMMYFUNCTION("INDEX(GOOGLEFINANCE(A449, ""close"", $K$1, $K$1), 2, 2)"),36.69)</f>
        <v>36.69</v>
      </c>
      <c r="L449" s="8">
        <f t="shared" si="1"/>
        <v>-1.872158331</v>
      </c>
      <c r="M449" s="18">
        <f t="shared" si="2"/>
        <v>-18.72158331</v>
      </c>
      <c r="N449" s="18" t="str">
        <f t="shared" si="3"/>
        <v>Put Spread</v>
      </c>
      <c r="O449" s="18" t="str">
        <f t="shared" si="4"/>
        <v>Success</v>
      </c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</row>
    <row r="450">
      <c r="A450" s="13" t="s">
        <v>473</v>
      </c>
      <c r="B450" s="14" t="s">
        <v>18</v>
      </c>
      <c r="C450" s="15">
        <v>52.1</v>
      </c>
      <c r="D450" s="13" t="s">
        <v>19</v>
      </c>
      <c r="E450" s="15">
        <v>44.88</v>
      </c>
      <c r="F450" s="15">
        <v>3.0</v>
      </c>
      <c r="G450" s="15">
        <v>3.0</v>
      </c>
      <c r="H450" s="15">
        <v>1.0</v>
      </c>
      <c r="I450" s="16">
        <v>0.0</v>
      </c>
      <c r="J450" s="17">
        <f>IFERROR(__xludf.DUMMYFUNCTION("INDEX(GOOGLEFINANCE(A450, ""open"", $J$1, $J$1), 2, 2)"),48.65)</f>
        <v>48.65</v>
      </c>
      <c r="K450" s="17">
        <f>IFERROR(__xludf.DUMMYFUNCTION("INDEX(GOOGLEFINANCE(A450, ""close"", $K$1, $K$1), 2, 2)"),47.76)</f>
        <v>47.76</v>
      </c>
      <c r="L450" s="8">
        <f t="shared" si="1"/>
        <v>-1.829393628</v>
      </c>
      <c r="M450" s="18">
        <f t="shared" si="2"/>
        <v>-18.29393628</v>
      </c>
      <c r="N450" s="18" t="str">
        <f t="shared" si="3"/>
        <v>Put Spread</v>
      </c>
      <c r="O450" s="18" t="str">
        <f t="shared" si="4"/>
        <v>Success</v>
      </c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</row>
    <row r="451">
      <c r="A451" s="13" t="s">
        <v>474</v>
      </c>
      <c r="B451" s="14" t="s">
        <v>18</v>
      </c>
      <c r="C451" s="15">
        <v>194.52</v>
      </c>
      <c r="D451" s="13" t="s">
        <v>19</v>
      </c>
      <c r="E451" s="15">
        <v>177.92</v>
      </c>
      <c r="F451" s="15">
        <v>5.0</v>
      </c>
      <c r="G451" s="15">
        <v>2.0</v>
      </c>
      <c r="H451" s="15">
        <v>5.0</v>
      </c>
      <c r="I451" s="16">
        <v>2.31397092634185</v>
      </c>
      <c r="J451" s="17">
        <f>IFERROR(__xludf.DUMMYFUNCTION("INDEX(GOOGLEFINANCE(A451, ""open"", $J$1, $J$1), 2, 2)"),186.22)</f>
        <v>186.22</v>
      </c>
      <c r="K451" s="17">
        <f>IFERROR(__xludf.DUMMYFUNCTION("INDEX(GOOGLEFINANCE(A451, ""close"", $K$1, $K$1), 2, 2)"),182.83)</f>
        <v>182.83</v>
      </c>
      <c r="L451" s="8">
        <f t="shared" si="1"/>
        <v>-1.820427451</v>
      </c>
      <c r="M451" s="18">
        <f t="shared" si="2"/>
        <v>-18.20427451</v>
      </c>
      <c r="N451" s="18" t="str">
        <f t="shared" si="3"/>
        <v>Put Spread</v>
      </c>
      <c r="O451" s="18" t="str">
        <f t="shared" si="4"/>
        <v>Success</v>
      </c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</row>
    <row r="452">
      <c r="A452" s="13" t="s">
        <v>475</v>
      </c>
      <c r="B452" s="26" t="s">
        <v>47</v>
      </c>
      <c r="C452" s="15">
        <v>910.9</v>
      </c>
      <c r="D452" s="13" t="s">
        <v>48</v>
      </c>
      <c r="E452" s="15">
        <v>960.06</v>
      </c>
      <c r="F452" s="15">
        <v>1.0</v>
      </c>
      <c r="G452" s="15">
        <v>1.0</v>
      </c>
      <c r="H452" s="15">
        <v>1.0</v>
      </c>
      <c r="I452" s="16">
        <v>-1.5761569</v>
      </c>
      <c r="J452" s="17">
        <f>IFERROR(__xludf.DUMMYFUNCTION("INDEX(GOOGLEFINANCE(A452, ""open"", $J$1, $J$1), 2, 2)"),935.5)</f>
        <v>935.5</v>
      </c>
      <c r="K452" s="17">
        <f>IFERROR(__xludf.DUMMYFUNCTION("INDEX(GOOGLEFINANCE(A452, ""close"", $K$1, $K$1), 2, 2)"),952.52)</f>
        <v>952.52</v>
      </c>
      <c r="L452" s="8">
        <f t="shared" si="1"/>
        <v>-1.819347942</v>
      </c>
      <c r="M452" s="18">
        <f t="shared" si="2"/>
        <v>-18.19347942</v>
      </c>
      <c r="N452" s="18" t="str">
        <f t="shared" si="3"/>
        <v>Call Spread</v>
      </c>
      <c r="O452" s="18" t="str">
        <f t="shared" si="4"/>
        <v>Success</v>
      </c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</row>
    <row r="453">
      <c r="A453" s="13" t="s">
        <v>476</v>
      </c>
      <c r="B453" s="14" t="s">
        <v>18</v>
      </c>
      <c r="C453" s="15">
        <v>63.13</v>
      </c>
      <c r="D453" s="13" t="s">
        <v>19</v>
      </c>
      <c r="E453" s="15">
        <v>58.19</v>
      </c>
      <c r="F453" s="15">
        <v>3.0</v>
      </c>
      <c r="G453" s="15">
        <v>4.0</v>
      </c>
      <c r="H453" s="15">
        <v>4.0</v>
      </c>
      <c r="I453" s="16">
        <v>-0.7121303</v>
      </c>
      <c r="J453" s="17">
        <f>IFERROR(__xludf.DUMMYFUNCTION("INDEX(GOOGLEFINANCE(A453, ""open"", $J$1, $J$1), 2, 2)"),60.1)</f>
        <v>60.1</v>
      </c>
      <c r="K453" s="17">
        <f>IFERROR(__xludf.DUMMYFUNCTION("INDEX(GOOGLEFINANCE(A453, ""close"", $K$1, $K$1), 2, 2)"),59.02)</f>
        <v>59.02</v>
      </c>
      <c r="L453" s="8">
        <f t="shared" si="1"/>
        <v>-1.797004992</v>
      </c>
      <c r="M453" s="18">
        <f t="shared" si="2"/>
        <v>-17.97004992</v>
      </c>
      <c r="N453" s="18" t="str">
        <f t="shared" si="3"/>
        <v>Put Spread</v>
      </c>
      <c r="O453" s="18" t="str">
        <f t="shared" si="4"/>
        <v>Success</v>
      </c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</row>
    <row r="454">
      <c r="A454" s="13" t="s">
        <v>477</v>
      </c>
      <c r="B454" s="14" t="s">
        <v>18</v>
      </c>
      <c r="C454" s="15">
        <v>12.59</v>
      </c>
      <c r="D454" s="13" t="s">
        <v>19</v>
      </c>
      <c r="E454" s="15">
        <v>11.79</v>
      </c>
      <c r="F454" s="15">
        <v>4.0</v>
      </c>
      <c r="G454" s="15">
        <v>3.0</v>
      </c>
      <c r="H454" s="15">
        <v>5.0</v>
      </c>
      <c r="I454" s="16">
        <v>0.959332194449147</v>
      </c>
      <c r="J454" s="17">
        <f>IFERROR(__xludf.DUMMYFUNCTION("INDEX(GOOGLEFINANCE(A454, ""open"", $J$1, $J$1), 2, 2)"),12.27)</f>
        <v>12.27</v>
      </c>
      <c r="K454" s="17">
        <f>IFERROR(__xludf.DUMMYFUNCTION("INDEX(GOOGLEFINANCE(A454, ""close"", $K$1, $K$1), 2, 2)"),12.05)</f>
        <v>12.05</v>
      </c>
      <c r="L454" s="8">
        <f t="shared" si="1"/>
        <v>-1.792991035</v>
      </c>
      <c r="M454" s="18">
        <f t="shared" si="2"/>
        <v>-17.92991035</v>
      </c>
      <c r="N454" s="18" t="str">
        <f t="shared" si="3"/>
        <v>Put Spread</v>
      </c>
      <c r="O454" s="18" t="str">
        <f t="shared" si="4"/>
        <v>Success</v>
      </c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</row>
    <row r="455">
      <c r="A455" s="13" t="s">
        <v>478</v>
      </c>
      <c r="B455" s="14" t="s">
        <v>18</v>
      </c>
      <c r="C455" s="15">
        <v>33.41</v>
      </c>
      <c r="D455" s="13" t="s">
        <v>19</v>
      </c>
      <c r="E455" s="15">
        <v>30.99</v>
      </c>
      <c r="F455" s="15">
        <v>5.0</v>
      </c>
      <c r="G455" s="15">
        <v>2.0</v>
      </c>
      <c r="H455" s="15">
        <v>4.0</v>
      </c>
      <c r="I455" s="16">
        <v>0.0</v>
      </c>
      <c r="J455" s="17">
        <f>IFERROR(__xludf.DUMMYFUNCTION("INDEX(GOOGLEFINANCE(A455, ""open"", $J$1, $J$1), 2, 2)"),32.32)</f>
        <v>32.32</v>
      </c>
      <c r="K455" s="17">
        <f>IFERROR(__xludf.DUMMYFUNCTION("INDEX(GOOGLEFINANCE(A455, ""close"", $K$1, $K$1), 2, 2)"),31.75)</f>
        <v>31.75</v>
      </c>
      <c r="L455" s="20">
        <f t="shared" si="1"/>
        <v>-1.763613861</v>
      </c>
      <c r="M455" s="18">
        <f t="shared" si="2"/>
        <v>-17.63613861</v>
      </c>
      <c r="N455" s="18" t="str">
        <f t="shared" si="3"/>
        <v>Put Spread</v>
      </c>
      <c r="O455" s="18" t="str">
        <f t="shared" si="4"/>
        <v>Success</v>
      </c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</row>
    <row r="456">
      <c r="A456" s="13" t="s">
        <v>479</v>
      </c>
      <c r="B456" s="14" t="s">
        <v>18</v>
      </c>
      <c r="C456" s="15">
        <v>74.16</v>
      </c>
      <c r="D456" s="13" t="s">
        <v>19</v>
      </c>
      <c r="E456" s="15">
        <v>69.96</v>
      </c>
      <c r="F456" s="15">
        <v>5.0</v>
      </c>
      <c r="G456" s="15">
        <v>1.0</v>
      </c>
      <c r="H456" s="15">
        <v>4.0</v>
      </c>
      <c r="I456" s="16">
        <v>0.0</v>
      </c>
      <c r="J456" s="17">
        <f>IFERROR(__xludf.DUMMYFUNCTION("INDEX(GOOGLEFINANCE(A456, ""open"", $J$1, $J$1), 2, 2)"),71.62)</f>
        <v>71.62</v>
      </c>
      <c r="K456" s="17">
        <f>IFERROR(__xludf.DUMMYFUNCTION("INDEX(GOOGLEFINANCE(A456, ""close"", $K$1, $K$1), 2, 2)"),70.41)</f>
        <v>70.41</v>
      </c>
      <c r="L456" s="20">
        <f t="shared" si="1"/>
        <v>-1.689472214</v>
      </c>
      <c r="M456" s="18">
        <f t="shared" si="2"/>
        <v>-16.89472214</v>
      </c>
      <c r="N456" s="18" t="str">
        <f t="shared" si="3"/>
        <v>Put Spread</v>
      </c>
      <c r="O456" s="18" t="str">
        <f t="shared" si="4"/>
        <v>Success</v>
      </c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</row>
    <row r="457">
      <c r="A457" s="13" t="s">
        <v>480</v>
      </c>
      <c r="B457" s="14" t="s">
        <v>18</v>
      </c>
      <c r="C457" s="15">
        <v>121.19</v>
      </c>
      <c r="D457" s="13" t="s">
        <v>19</v>
      </c>
      <c r="E457" s="15">
        <v>114.21</v>
      </c>
      <c r="F457" s="15">
        <v>3.0</v>
      </c>
      <c r="G457" s="15">
        <v>1.0</v>
      </c>
      <c r="H457" s="15">
        <v>2.0</v>
      </c>
      <c r="I457" s="16">
        <v>0.0</v>
      </c>
      <c r="J457" s="17">
        <f>IFERROR(__xludf.DUMMYFUNCTION("INDEX(GOOGLEFINANCE(A457, ""open"", $J$1, $J$1), 2, 2)"),117.25)</f>
        <v>117.25</v>
      </c>
      <c r="K457" s="17">
        <f>IFERROR(__xludf.DUMMYFUNCTION("INDEX(GOOGLEFINANCE(A457, ""close"", $K$1, $K$1), 2, 2)"),115.3)</f>
        <v>115.3</v>
      </c>
      <c r="L457" s="20">
        <f t="shared" si="1"/>
        <v>-1.663113006</v>
      </c>
      <c r="M457" s="18">
        <f t="shared" si="2"/>
        <v>-16.63113006</v>
      </c>
      <c r="N457" s="18" t="str">
        <f t="shared" si="3"/>
        <v>Put Spread</v>
      </c>
      <c r="O457" s="18" t="str">
        <f t="shared" si="4"/>
        <v>Success</v>
      </c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</row>
    <row r="458">
      <c r="A458" s="13" t="s">
        <v>481</v>
      </c>
      <c r="B458" s="14" t="s">
        <v>18</v>
      </c>
      <c r="C458" s="15">
        <v>139.18</v>
      </c>
      <c r="D458" s="13" t="s">
        <v>19</v>
      </c>
      <c r="E458" s="15">
        <v>131.82</v>
      </c>
      <c r="F458" s="15">
        <v>5.0</v>
      </c>
      <c r="G458" s="15">
        <v>1.0</v>
      </c>
      <c r="H458" s="15">
        <v>4.0</v>
      </c>
      <c r="I458" s="16">
        <v>0.0</v>
      </c>
      <c r="J458" s="17">
        <f>IFERROR(__xludf.DUMMYFUNCTION("INDEX(GOOGLEFINANCE(A458, ""open"", $J$1, $J$1), 2, 2)"),135.28)</f>
        <v>135.28</v>
      </c>
      <c r="K458" s="17">
        <f>IFERROR(__xludf.DUMMYFUNCTION("INDEX(GOOGLEFINANCE(A458, ""close"", $K$1, $K$1), 2, 2)"),133.04)</f>
        <v>133.04</v>
      </c>
      <c r="L458" s="8">
        <f t="shared" si="1"/>
        <v>-1.655824956</v>
      </c>
      <c r="M458" s="18">
        <f t="shared" si="2"/>
        <v>-16.55824956</v>
      </c>
      <c r="N458" s="18" t="str">
        <f t="shared" si="3"/>
        <v>Put Spread</v>
      </c>
      <c r="O458" s="18" t="str">
        <f t="shared" si="4"/>
        <v>Success</v>
      </c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</row>
    <row r="459">
      <c r="A459" s="13" t="s">
        <v>482</v>
      </c>
      <c r="B459" s="14" t="s">
        <v>18</v>
      </c>
      <c r="C459" s="15">
        <v>22.17</v>
      </c>
      <c r="D459" s="13" t="s">
        <v>19</v>
      </c>
      <c r="E459" s="15">
        <v>19.55</v>
      </c>
      <c r="F459" s="15">
        <v>5.0</v>
      </c>
      <c r="G459" s="15">
        <v>2.0</v>
      </c>
      <c r="H459" s="15">
        <v>4.0</v>
      </c>
      <c r="I459" s="16">
        <v>0.0</v>
      </c>
      <c r="J459" s="17">
        <f>IFERROR(__xludf.DUMMYFUNCTION("INDEX(GOOGLEFINANCE(A459, ""open"", $J$1, $J$1), 2, 2)"),20.85)</f>
        <v>20.85</v>
      </c>
      <c r="K459" s="17">
        <f>IFERROR(__xludf.DUMMYFUNCTION("INDEX(GOOGLEFINANCE(A459, ""close"", $K$1, $K$1), 2, 2)"),20.51)</f>
        <v>20.51</v>
      </c>
      <c r="L459" s="8">
        <f t="shared" si="1"/>
        <v>-1.630695444</v>
      </c>
      <c r="M459" s="18">
        <f t="shared" si="2"/>
        <v>-16.30695444</v>
      </c>
      <c r="N459" s="18" t="str">
        <f t="shared" si="3"/>
        <v>Put Spread</v>
      </c>
      <c r="O459" s="18" t="str">
        <f t="shared" si="4"/>
        <v>Success</v>
      </c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</row>
    <row r="460">
      <c r="A460" s="13" t="s">
        <v>483</v>
      </c>
      <c r="B460" s="14" t="s">
        <v>18</v>
      </c>
      <c r="C460" s="15">
        <v>11.81</v>
      </c>
      <c r="D460" s="13" t="s">
        <v>19</v>
      </c>
      <c r="E460" s="15">
        <v>11.05</v>
      </c>
      <c r="F460" s="15">
        <v>5.0</v>
      </c>
      <c r="G460" s="15">
        <v>2.0</v>
      </c>
      <c r="H460" s="15">
        <v>5.0</v>
      </c>
      <c r="I460" s="16">
        <v>0.674277958168259</v>
      </c>
      <c r="J460" s="17">
        <f>IFERROR(__xludf.DUMMYFUNCTION("INDEX(GOOGLEFINANCE(A460, ""open"", $J$1, $J$1), 2, 2)"),11.14)</f>
        <v>11.14</v>
      </c>
      <c r="K460" s="17">
        <f>IFERROR(__xludf.DUMMYFUNCTION("INDEX(GOOGLEFINANCE(A460, ""close"", $K$1, $K$1), 2, 2)"),10.96)</f>
        <v>10.96</v>
      </c>
      <c r="L460" s="8">
        <f t="shared" si="1"/>
        <v>-1.615798923</v>
      </c>
      <c r="M460" s="18">
        <f t="shared" si="2"/>
        <v>-16.15798923</v>
      </c>
      <c r="N460" s="18" t="str">
        <f t="shared" si="3"/>
        <v>Put Spread</v>
      </c>
      <c r="O460" s="18" t="str">
        <f t="shared" si="4"/>
        <v>No</v>
      </c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</row>
    <row r="461">
      <c r="A461" s="13" t="s">
        <v>484</v>
      </c>
      <c r="B461" s="14" t="s">
        <v>18</v>
      </c>
      <c r="C461" s="15">
        <v>120.62</v>
      </c>
      <c r="D461" s="13" t="s">
        <v>19</v>
      </c>
      <c r="E461" s="15">
        <v>115.64</v>
      </c>
      <c r="F461" s="15">
        <v>3.0</v>
      </c>
      <c r="G461" s="15">
        <v>2.0</v>
      </c>
      <c r="H461" s="15">
        <v>2.0</v>
      </c>
      <c r="I461" s="16">
        <v>0.0</v>
      </c>
      <c r="J461" s="17">
        <f>IFERROR(__xludf.DUMMYFUNCTION("INDEX(GOOGLEFINANCE(A461, ""open"", $J$1, $J$1), 2, 2)"),118.41)</f>
        <v>118.41</v>
      </c>
      <c r="K461" s="17">
        <f>IFERROR(__xludf.DUMMYFUNCTION("INDEX(GOOGLEFINANCE(A461, ""close"", $K$1, $K$1), 2, 2)"),116.5)</f>
        <v>116.5</v>
      </c>
      <c r="L461" s="8">
        <f t="shared" si="1"/>
        <v>-1.613039439</v>
      </c>
      <c r="M461" s="18">
        <f t="shared" si="2"/>
        <v>-16.13039439</v>
      </c>
      <c r="N461" s="18" t="str">
        <f t="shared" si="3"/>
        <v>Put Spread</v>
      </c>
      <c r="O461" s="18" t="str">
        <f t="shared" si="4"/>
        <v>Success</v>
      </c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</row>
    <row r="462">
      <c r="A462" s="13" t="s">
        <v>485</v>
      </c>
      <c r="B462" s="14" t="s">
        <v>18</v>
      </c>
      <c r="C462" s="15">
        <v>99.6</v>
      </c>
      <c r="D462" s="13" t="s">
        <v>19</v>
      </c>
      <c r="E462" s="15">
        <v>94.52</v>
      </c>
      <c r="F462" s="15">
        <v>3.0</v>
      </c>
      <c r="G462" s="15">
        <v>2.0</v>
      </c>
      <c r="H462" s="15">
        <v>5.0</v>
      </c>
      <c r="I462" s="16">
        <v>0.0</v>
      </c>
      <c r="J462" s="17">
        <f>IFERROR(__xludf.DUMMYFUNCTION("INDEX(GOOGLEFINANCE(A462, ""open"", $J$1, $J$1), 2, 2)"),97.09)</f>
        <v>97.09</v>
      </c>
      <c r="K462" s="17">
        <f>IFERROR(__xludf.DUMMYFUNCTION("INDEX(GOOGLEFINANCE(A462, ""close"", $K$1, $K$1), 2, 2)"),95.53)</f>
        <v>95.53</v>
      </c>
      <c r="L462" s="8">
        <f t="shared" si="1"/>
        <v>-1.606756618</v>
      </c>
      <c r="M462" s="18">
        <f t="shared" si="2"/>
        <v>-16.06756618</v>
      </c>
      <c r="N462" s="18" t="str">
        <f t="shared" si="3"/>
        <v>Put Spread</v>
      </c>
      <c r="O462" s="18" t="str">
        <f t="shared" si="4"/>
        <v>Success</v>
      </c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</row>
    <row r="463">
      <c r="A463" s="13" t="s">
        <v>486</v>
      </c>
      <c r="B463" s="26" t="s">
        <v>47</v>
      </c>
      <c r="C463" s="15">
        <v>330.59</v>
      </c>
      <c r="D463" s="13" t="s">
        <v>48</v>
      </c>
      <c r="E463" s="15">
        <v>349.61</v>
      </c>
      <c r="F463" s="15">
        <v>0.0</v>
      </c>
      <c r="G463" s="15">
        <v>1.0</v>
      </c>
      <c r="H463" s="15">
        <v>1.0</v>
      </c>
      <c r="I463" s="16">
        <v>0.0</v>
      </c>
      <c r="J463" s="17">
        <f>IFERROR(__xludf.DUMMYFUNCTION("INDEX(GOOGLEFINANCE(A463, ""open"", $J$1, $J$1), 2, 2)"),338.03)</f>
        <v>338.03</v>
      </c>
      <c r="K463" s="17">
        <f>IFERROR(__xludf.DUMMYFUNCTION("INDEX(GOOGLEFINANCE(A463, ""close"", $K$1, $K$1), 2, 2)"),343.41)</f>
        <v>343.41</v>
      </c>
      <c r="L463" s="8">
        <f t="shared" si="1"/>
        <v>-1.591574712</v>
      </c>
      <c r="M463" s="18">
        <f t="shared" si="2"/>
        <v>-15.91574712</v>
      </c>
      <c r="N463" s="18" t="str">
        <f t="shared" si="3"/>
        <v>Call Spread</v>
      </c>
      <c r="O463" s="18" t="str">
        <f t="shared" si="4"/>
        <v>Success</v>
      </c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</row>
    <row r="464">
      <c r="A464" s="13" t="s">
        <v>487</v>
      </c>
      <c r="B464" s="14" t="s">
        <v>18</v>
      </c>
      <c r="C464" s="15">
        <v>242.07</v>
      </c>
      <c r="D464" s="13" t="s">
        <v>19</v>
      </c>
      <c r="E464" s="15">
        <v>225.77</v>
      </c>
      <c r="F464" s="15">
        <v>5.0</v>
      </c>
      <c r="G464" s="15">
        <v>2.0</v>
      </c>
      <c r="H464" s="15">
        <v>5.0</v>
      </c>
      <c r="I464" s="16">
        <v>1.63880198382807</v>
      </c>
      <c r="J464" s="17">
        <f>IFERROR(__xludf.DUMMYFUNCTION("INDEX(GOOGLEFINANCE(A464, ""open"", $J$1, $J$1), 2, 2)"),232.21)</f>
        <v>232.21</v>
      </c>
      <c r="K464" s="17">
        <f>IFERROR(__xludf.DUMMYFUNCTION("INDEX(GOOGLEFINANCE(A464, ""close"", $K$1, $K$1), 2, 2)"),228.57)</f>
        <v>228.57</v>
      </c>
      <c r="L464" s="20">
        <f t="shared" si="1"/>
        <v>-1.567546617</v>
      </c>
      <c r="M464" s="18">
        <f t="shared" si="2"/>
        <v>-15.67546617</v>
      </c>
      <c r="N464" s="18" t="str">
        <f t="shared" si="3"/>
        <v>Put Spread</v>
      </c>
      <c r="O464" s="18" t="str">
        <f t="shared" si="4"/>
        <v>Success</v>
      </c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</row>
    <row r="465">
      <c r="A465" s="13" t="s">
        <v>488</v>
      </c>
      <c r="B465" s="14" t="s">
        <v>18</v>
      </c>
      <c r="C465" s="15">
        <v>53.45</v>
      </c>
      <c r="D465" s="13" t="s">
        <v>19</v>
      </c>
      <c r="E465" s="15">
        <v>46.87</v>
      </c>
      <c r="F465" s="15">
        <v>2.0</v>
      </c>
      <c r="G465" s="15">
        <v>2.0</v>
      </c>
      <c r="H465" s="15">
        <v>5.0</v>
      </c>
      <c r="I465" s="16">
        <v>0.0</v>
      </c>
      <c r="J465" s="17">
        <f>IFERROR(__xludf.DUMMYFUNCTION("INDEX(GOOGLEFINANCE(A465, ""open"", $J$1, $J$1), 2, 2)"),49.53)</f>
        <v>49.53</v>
      </c>
      <c r="K465" s="17">
        <f>IFERROR(__xludf.DUMMYFUNCTION("INDEX(GOOGLEFINANCE(A465, ""close"", $K$1, $K$1), 2, 2)"),48.76)</f>
        <v>48.76</v>
      </c>
      <c r="L465" s="8">
        <f t="shared" si="1"/>
        <v>-1.554613366</v>
      </c>
      <c r="M465" s="18">
        <f t="shared" si="2"/>
        <v>-15.54613366</v>
      </c>
      <c r="N465" s="18" t="str">
        <f t="shared" si="3"/>
        <v>Put Spread</v>
      </c>
      <c r="O465" s="18" t="str">
        <f t="shared" si="4"/>
        <v>Success</v>
      </c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</row>
    <row r="466">
      <c r="A466" s="13" t="s">
        <v>489</v>
      </c>
      <c r="B466" s="14" t="s">
        <v>18</v>
      </c>
      <c r="C466" s="15">
        <v>232.25</v>
      </c>
      <c r="D466" s="13" t="s">
        <v>19</v>
      </c>
      <c r="E466" s="15">
        <v>212.85</v>
      </c>
      <c r="F466" s="15">
        <v>3.0</v>
      </c>
      <c r="G466" s="15">
        <v>1.0</v>
      </c>
      <c r="H466" s="15">
        <v>4.0</v>
      </c>
      <c r="I466" s="16">
        <v>0.0</v>
      </c>
      <c r="J466" s="17">
        <f>IFERROR(__xludf.DUMMYFUNCTION("INDEX(GOOGLEFINANCE(A466, ""open"", $J$1, $J$1), 2, 2)"),221.96)</f>
        <v>221.96</v>
      </c>
      <c r="K466" s="17">
        <f>IFERROR(__xludf.DUMMYFUNCTION("INDEX(GOOGLEFINANCE(A466, ""close"", $K$1, $K$1), 2, 2)"),218.56)</f>
        <v>218.56</v>
      </c>
      <c r="L466" s="8">
        <f t="shared" si="1"/>
        <v>-1.531807533</v>
      </c>
      <c r="M466" s="18">
        <f t="shared" si="2"/>
        <v>-15.31807533</v>
      </c>
      <c r="N466" s="18" t="str">
        <f t="shared" si="3"/>
        <v>Put Spread</v>
      </c>
      <c r="O466" s="18" t="str">
        <f t="shared" si="4"/>
        <v>Success</v>
      </c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</row>
    <row r="467">
      <c r="A467" s="13" t="s">
        <v>490</v>
      </c>
      <c r="B467" s="14" t="s">
        <v>18</v>
      </c>
      <c r="C467" s="15">
        <v>225.58</v>
      </c>
      <c r="D467" s="13" t="s">
        <v>19</v>
      </c>
      <c r="E467" s="15">
        <v>204.42</v>
      </c>
      <c r="F467" s="15">
        <v>5.0</v>
      </c>
      <c r="G467" s="15">
        <v>2.0</v>
      </c>
      <c r="H467" s="15">
        <v>3.0</v>
      </c>
      <c r="I467" s="16">
        <v>3.04190718114988</v>
      </c>
      <c r="J467" s="17">
        <f>IFERROR(__xludf.DUMMYFUNCTION("INDEX(GOOGLEFINANCE(A467, ""open"", $J$1, $J$1), 2, 2)"),212.76)</f>
        <v>212.76</v>
      </c>
      <c r="K467" s="17">
        <f>IFERROR(__xludf.DUMMYFUNCTION("INDEX(GOOGLEFINANCE(A467, ""close"", $K$1, $K$1), 2, 2)"),209.51)</f>
        <v>209.51</v>
      </c>
      <c r="L467" s="8">
        <f t="shared" si="1"/>
        <v>-1.527542771</v>
      </c>
      <c r="M467" s="18">
        <f t="shared" si="2"/>
        <v>-15.27542771</v>
      </c>
      <c r="N467" s="18" t="str">
        <f t="shared" si="3"/>
        <v>Put Spread</v>
      </c>
      <c r="O467" s="18" t="str">
        <f t="shared" si="4"/>
        <v>Success</v>
      </c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</row>
    <row r="468">
      <c r="A468" s="13" t="s">
        <v>491</v>
      </c>
      <c r="B468" s="14" t="s">
        <v>18</v>
      </c>
      <c r="C468" s="15">
        <v>10.45</v>
      </c>
      <c r="D468" s="13" t="s">
        <v>19</v>
      </c>
      <c r="E468" s="15">
        <v>9.55</v>
      </c>
      <c r="F468" s="15">
        <v>5.0</v>
      </c>
      <c r="G468" s="15">
        <v>3.0</v>
      </c>
      <c r="H468" s="15">
        <v>5.0</v>
      </c>
      <c r="I468" s="16">
        <v>0.0</v>
      </c>
      <c r="J468" s="17">
        <f>IFERROR(__xludf.DUMMYFUNCTION("INDEX(GOOGLEFINANCE(A468, ""open"", $J$1, $J$1), 2, 2)"),9.86)</f>
        <v>9.86</v>
      </c>
      <c r="K468" s="17">
        <f>IFERROR(__xludf.DUMMYFUNCTION("INDEX(GOOGLEFINANCE(A468, ""close"", $K$1, $K$1), 2, 2)"),9.71)</f>
        <v>9.71</v>
      </c>
      <c r="L468" s="8">
        <f t="shared" si="1"/>
        <v>-1.521298174</v>
      </c>
      <c r="M468" s="18">
        <f t="shared" si="2"/>
        <v>-15.21298174</v>
      </c>
      <c r="N468" s="18" t="str">
        <f t="shared" si="3"/>
        <v>Put Spread</v>
      </c>
      <c r="O468" s="18" t="str">
        <f t="shared" si="4"/>
        <v>Success</v>
      </c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</row>
    <row r="469">
      <c r="A469" s="13" t="s">
        <v>492</v>
      </c>
      <c r="B469" s="14" t="s">
        <v>18</v>
      </c>
      <c r="C469" s="15">
        <v>109.13</v>
      </c>
      <c r="D469" s="13" t="s">
        <v>19</v>
      </c>
      <c r="E469" s="15">
        <v>100.91</v>
      </c>
      <c r="F469" s="15">
        <v>2.0</v>
      </c>
      <c r="G469" s="15">
        <v>2.0</v>
      </c>
      <c r="H469" s="15">
        <v>5.0</v>
      </c>
      <c r="I469" s="16">
        <v>0.0</v>
      </c>
      <c r="J469" s="17">
        <f>IFERROR(__xludf.DUMMYFUNCTION("INDEX(GOOGLEFINANCE(A469, ""open"", $J$1, $J$1), 2, 2)"),105.91)</f>
        <v>105.91</v>
      </c>
      <c r="K469" s="17">
        <f>IFERROR(__xludf.DUMMYFUNCTION("INDEX(GOOGLEFINANCE(A469, ""close"", $K$1, $K$1), 2, 2)"),104.31)</f>
        <v>104.31</v>
      </c>
      <c r="L469" s="8">
        <f t="shared" si="1"/>
        <v>-1.510716646</v>
      </c>
      <c r="M469" s="18">
        <f t="shared" si="2"/>
        <v>-15.10716646</v>
      </c>
      <c r="N469" s="18" t="str">
        <f t="shared" si="3"/>
        <v>Put Spread</v>
      </c>
      <c r="O469" s="18" t="str">
        <f t="shared" si="4"/>
        <v>Success</v>
      </c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</row>
    <row r="470">
      <c r="A470" s="13" t="s">
        <v>493</v>
      </c>
      <c r="B470" s="14" t="s">
        <v>18</v>
      </c>
      <c r="C470" s="15">
        <v>282.12</v>
      </c>
      <c r="D470" s="13" t="s">
        <v>19</v>
      </c>
      <c r="E470" s="15">
        <v>261.06</v>
      </c>
      <c r="F470" s="15">
        <v>2.0</v>
      </c>
      <c r="G470" s="15">
        <v>1.0</v>
      </c>
      <c r="H470" s="15">
        <v>5.0</v>
      </c>
      <c r="I470" s="16">
        <v>0.0</v>
      </c>
      <c r="J470" s="17">
        <f>IFERROR(__xludf.DUMMYFUNCTION("INDEX(GOOGLEFINANCE(A470, ""open"", $J$1, $J$1), 2, 2)"),273.36)</f>
        <v>273.36</v>
      </c>
      <c r="K470" s="17">
        <f>IFERROR(__xludf.DUMMYFUNCTION("INDEX(GOOGLEFINANCE(A470, ""close"", $K$1, $K$1), 2, 2)"),269.38)</f>
        <v>269.38</v>
      </c>
      <c r="L470" s="8">
        <f t="shared" si="1"/>
        <v>-1.455955517</v>
      </c>
      <c r="M470" s="18">
        <f t="shared" si="2"/>
        <v>-14.55955517</v>
      </c>
      <c r="N470" s="18" t="str">
        <f t="shared" si="3"/>
        <v>Put Spread</v>
      </c>
      <c r="O470" s="18" t="str">
        <f t="shared" si="4"/>
        <v>Success</v>
      </c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</row>
    <row r="471">
      <c r="A471" s="13" t="s">
        <v>494</v>
      </c>
      <c r="B471" s="14" t="s">
        <v>18</v>
      </c>
      <c r="C471" s="15">
        <v>77.57</v>
      </c>
      <c r="D471" s="13" t="s">
        <v>19</v>
      </c>
      <c r="E471" s="15">
        <v>72.39</v>
      </c>
      <c r="F471" s="15">
        <v>5.0</v>
      </c>
      <c r="G471" s="15">
        <v>2.0</v>
      </c>
      <c r="H471" s="15">
        <v>3.0</v>
      </c>
      <c r="I471" s="16">
        <v>0.0</v>
      </c>
      <c r="J471" s="17">
        <f>IFERROR(__xludf.DUMMYFUNCTION("INDEX(GOOGLEFINANCE(A471, ""open"", $J$1, $J$1), 2, 2)"),75.72)</f>
        <v>75.72</v>
      </c>
      <c r="K471" s="17">
        <f>IFERROR(__xludf.DUMMYFUNCTION("INDEX(GOOGLEFINANCE(A471, ""close"", $K$1, $K$1), 2, 2)"),74.63)</f>
        <v>74.63</v>
      </c>
      <c r="L471" s="8">
        <f t="shared" si="1"/>
        <v>-1.439513999</v>
      </c>
      <c r="M471" s="18">
        <f t="shared" si="2"/>
        <v>-14.39513999</v>
      </c>
      <c r="N471" s="18" t="str">
        <f t="shared" si="3"/>
        <v>Put Spread</v>
      </c>
      <c r="O471" s="18" t="str">
        <f t="shared" si="4"/>
        <v>Success</v>
      </c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</row>
    <row r="472">
      <c r="A472" s="13" t="s">
        <v>495</v>
      </c>
      <c r="B472" s="14" t="s">
        <v>18</v>
      </c>
      <c r="C472" s="15">
        <v>42.59</v>
      </c>
      <c r="D472" s="13" t="s">
        <v>19</v>
      </c>
      <c r="E472" s="15">
        <v>38.49</v>
      </c>
      <c r="F472" s="15">
        <v>2.0</v>
      </c>
      <c r="G472" s="15">
        <v>2.0</v>
      </c>
      <c r="H472" s="15">
        <v>2.0</v>
      </c>
      <c r="I472" s="16">
        <v>0.0</v>
      </c>
      <c r="J472" s="17">
        <f>IFERROR(__xludf.DUMMYFUNCTION("INDEX(GOOGLEFINANCE(A472, ""open"", $J$1, $J$1), 2, 2)"),41.06)</f>
        <v>41.06</v>
      </c>
      <c r="K472" s="17">
        <f>IFERROR(__xludf.DUMMYFUNCTION("INDEX(GOOGLEFINANCE(A472, ""close"", $K$1, $K$1), 2, 2)"),40.48)</f>
        <v>40.48</v>
      </c>
      <c r="L472" s="8">
        <f t="shared" si="1"/>
        <v>-1.412566975</v>
      </c>
      <c r="M472" s="18">
        <f t="shared" si="2"/>
        <v>-14.12566975</v>
      </c>
      <c r="N472" s="18" t="str">
        <f t="shared" si="3"/>
        <v>Put Spread</v>
      </c>
      <c r="O472" s="18" t="str">
        <f t="shared" si="4"/>
        <v>Success</v>
      </c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</row>
    <row r="473">
      <c r="A473" s="13" t="s">
        <v>496</v>
      </c>
      <c r="B473" s="14" t="s">
        <v>18</v>
      </c>
      <c r="C473" s="15">
        <v>538.62</v>
      </c>
      <c r="D473" s="13" t="s">
        <v>19</v>
      </c>
      <c r="E473" s="15">
        <v>491.28</v>
      </c>
      <c r="F473" s="15">
        <v>3.0</v>
      </c>
      <c r="G473" s="15">
        <v>2.0</v>
      </c>
      <c r="H473" s="15">
        <v>5.0</v>
      </c>
      <c r="I473" s="16">
        <v>0.0</v>
      </c>
      <c r="J473" s="17">
        <f>IFERROR(__xludf.DUMMYFUNCTION("INDEX(GOOGLEFINANCE(A473, ""open"", $J$1, $J$1), 2, 2)"),514.96)</f>
        <v>514.96</v>
      </c>
      <c r="K473" s="17">
        <f>IFERROR(__xludf.DUMMYFUNCTION("INDEX(GOOGLEFINANCE(A473, ""close"", $K$1, $K$1), 2, 2)"),507.73)</f>
        <v>507.73</v>
      </c>
      <c r="L473" s="8">
        <f t="shared" si="1"/>
        <v>-1.403992543</v>
      </c>
      <c r="M473" s="18">
        <f t="shared" si="2"/>
        <v>-14.03992543</v>
      </c>
      <c r="N473" s="18" t="str">
        <f t="shared" si="3"/>
        <v>Put Spread</v>
      </c>
      <c r="O473" s="18" t="str">
        <f t="shared" si="4"/>
        <v>Success</v>
      </c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</row>
    <row r="474">
      <c r="A474" s="13" t="s">
        <v>497</v>
      </c>
      <c r="B474" s="14" t="s">
        <v>18</v>
      </c>
      <c r="C474" s="15">
        <v>38.38</v>
      </c>
      <c r="D474" s="13" t="s">
        <v>19</v>
      </c>
      <c r="E474" s="15">
        <v>34.24</v>
      </c>
      <c r="F474" s="15">
        <v>2.0</v>
      </c>
      <c r="G474" s="15">
        <v>2.0</v>
      </c>
      <c r="H474" s="15">
        <v>2.0</v>
      </c>
      <c r="I474" s="16">
        <v>0.0</v>
      </c>
      <c r="J474" s="17">
        <f>IFERROR(__xludf.DUMMYFUNCTION("INDEX(GOOGLEFINANCE(A474, ""open"", $J$1, $J$1), 2, 2)"),36.42)</f>
        <v>36.42</v>
      </c>
      <c r="K474" s="17">
        <f>IFERROR(__xludf.DUMMYFUNCTION("INDEX(GOOGLEFINANCE(A474, ""close"", $K$1, $K$1), 2, 2)"),35.91)</f>
        <v>35.91</v>
      </c>
      <c r="L474" s="8">
        <f t="shared" si="1"/>
        <v>-1.400329489</v>
      </c>
      <c r="M474" s="18">
        <f t="shared" si="2"/>
        <v>-14.00329489</v>
      </c>
      <c r="N474" s="18" t="str">
        <f t="shared" si="3"/>
        <v>Put Spread</v>
      </c>
      <c r="O474" s="18" t="str">
        <f t="shared" si="4"/>
        <v>Success</v>
      </c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</row>
    <row r="475">
      <c r="A475" s="13" t="s">
        <v>498</v>
      </c>
      <c r="B475" s="14" t="s">
        <v>18</v>
      </c>
      <c r="C475" s="15">
        <v>68.85</v>
      </c>
      <c r="D475" s="13" t="s">
        <v>19</v>
      </c>
      <c r="E475" s="15">
        <v>64.39</v>
      </c>
      <c r="F475" s="15">
        <v>2.0</v>
      </c>
      <c r="G475" s="15">
        <v>3.0</v>
      </c>
      <c r="H475" s="15">
        <v>5.0</v>
      </c>
      <c r="I475" s="16">
        <v>0.575589101035513</v>
      </c>
      <c r="J475" s="17">
        <f>IFERROR(__xludf.DUMMYFUNCTION("INDEX(GOOGLEFINANCE(A475, ""open"", $J$1, $J$1), 2, 2)"),66.48)</f>
        <v>66.48</v>
      </c>
      <c r="K475" s="17">
        <f>IFERROR(__xludf.DUMMYFUNCTION("INDEX(GOOGLEFINANCE(A475, ""close"", $K$1, $K$1), 2, 2)"),65.55)</f>
        <v>65.55</v>
      </c>
      <c r="L475" s="8">
        <f t="shared" si="1"/>
        <v>-1.398916968</v>
      </c>
      <c r="M475" s="18">
        <f t="shared" si="2"/>
        <v>-13.98916968</v>
      </c>
      <c r="N475" s="18" t="str">
        <f t="shared" si="3"/>
        <v>Put Spread</v>
      </c>
      <c r="O475" s="18" t="str">
        <f t="shared" si="4"/>
        <v>Success</v>
      </c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</row>
    <row r="476">
      <c r="A476" s="13" t="s">
        <v>499</v>
      </c>
      <c r="B476" s="14" t="s">
        <v>18</v>
      </c>
      <c r="C476" s="15">
        <v>82.22</v>
      </c>
      <c r="D476" s="13" t="s">
        <v>19</v>
      </c>
      <c r="E476" s="15">
        <v>77.78</v>
      </c>
      <c r="F476" s="15">
        <v>4.0</v>
      </c>
      <c r="G476" s="15">
        <v>1.0</v>
      </c>
      <c r="H476" s="15">
        <v>5.0</v>
      </c>
      <c r="I476" s="16">
        <v>-2.9817329</v>
      </c>
      <c r="J476" s="17">
        <f>IFERROR(__xludf.DUMMYFUNCTION("INDEX(GOOGLEFINANCE(A476, ""open"", $J$1, $J$1), 2, 2)"),80.45)</f>
        <v>80.45</v>
      </c>
      <c r="K476" s="17">
        <f>IFERROR(__xludf.DUMMYFUNCTION("INDEX(GOOGLEFINANCE(A476, ""close"", $K$1, $K$1), 2, 2)"),79.33)</f>
        <v>79.33</v>
      </c>
      <c r="L476" s="8">
        <f t="shared" si="1"/>
        <v>-1.392169049</v>
      </c>
      <c r="M476" s="18">
        <f t="shared" si="2"/>
        <v>-13.92169049</v>
      </c>
      <c r="N476" s="18" t="str">
        <f t="shared" si="3"/>
        <v>Put Spread</v>
      </c>
      <c r="O476" s="18" t="str">
        <f t="shared" si="4"/>
        <v>Success</v>
      </c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</row>
    <row r="477">
      <c r="A477" s="13" t="s">
        <v>500</v>
      </c>
      <c r="B477" s="14" t="s">
        <v>18</v>
      </c>
      <c r="C477" s="15">
        <v>40.71</v>
      </c>
      <c r="D477" s="13" t="s">
        <v>19</v>
      </c>
      <c r="E477" s="15">
        <v>37.85</v>
      </c>
      <c r="F477" s="15">
        <v>4.0</v>
      </c>
      <c r="G477" s="15">
        <v>2.0</v>
      </c>
      <c r="H477" s="15">
        <v>4.0</v>
      </c>
      <c r="I477" s="16">
        <v>0.0</v>
      </c>
      <c r="J477" s="17">
        <f>IFERROR(__xludf.DUMMYFUNCTION("INDEX(GOOGLEFINANCE(A477, ""open"", $J$1, $J$1), 2, 2)"),39.58)</f>
        <v>39.58</v>
      </c>
      <c r="K477" s="17">
        <f>IFERROR(__xludf.DUMMYFUNCTION("INDEX(GOOGLEFINANCE(A477, ""close"", $K$1, $K$1), 2, 2)"),39.04)</f>
        <v>39.04</v>
      </c>
      <c r="L477" s="8">
        <f t="shared" si="1"/>
        <v>-1.364325417</v>
      </c>
      <c r="M477" s="18">
        <f t="shared" si="2"/>
        <v>-13.64325417</v>
      </c>
      <c r="N477" s="18" t="str">
        <f t="shared" si="3"/>
        <v>Put Spread</v>
      </c>
      <c r="O477" s="18" t="str">
        <f t="shared" si="4"/>
        <v>Success</v>
      </c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</row>
    <row r="478">
      <c r="A478" s="13" t="s">
        <v>501</v>
      </c>
      <c r="B478" s="14" t="s">
        <v>18</v>
      </c>
      <c r="C478" s="15">
        <v>30.66</v>
      </c>
      <c r="D478" s="13" t="s">
        <v>19</v>
      </c>
      <c r="E478" s="15">
        <v>28.4</v>
      </c>
      <c r="F478" s="15">
        <v>3.0</v>
      </c>
      <c r="G478" s="15">
        <v>2.0</v>
      </c>
      <c r="H478" s="15">
        <v>4.0</v>
      </c>
      <c r="I478" s="16">
        <v>0.0</v>
      </c>
      <c r="J478" s="17">
        <f>IFERROR(__xludf.DUMMYFUNCTION("INDEX(GOOGLEFINANCE(A478, ""open"", $J$1, $J$1), 2, 2)"),29.48)</f>
        <v>29.48</v>
      </c>
      <c r="K478" s="17">
        <f>IFERROR(__xludf.DUMMYFUNCTION("INDEX(GOOGLEFINANCE(A478, ""close"", $K$1, $K$1), 2, 2)"),29.09)</f>
        <v>29.09</v>
      </c>
      <c r="L478" s="20">
        <f t="shared" si="1"/>
        <v>-1.322930801</v>
      </c>
      <c r="M478" s="18">
        <f t="shared" si="2"/>
        <v>-13.22930801</v>
      </c>
      <c r="N478" s="18" t="str">
        <f t="shared" si="3"/>
        <v>Put Spread</v>
      </c>
      <c r="O478" s="18" t="str">
        <f t="shared" si="4"/>
        <v>Success</v>
      </c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</row>
    <row r="479">
      <c r="A479" s="13" t="s">
        <v>502</v>
      </c>
      <c r="B479" s="14" t="s">
        <v>18</v>
      </c>
      <c r="C479" s="15">
        <v>47.38</v>
      </c>
      <c r="D479" s="13" t="s">
        <v>19</v>
      </c>
      <c r="E479" s="15">
        <v>45.3</v>
      </c>
      <c r="F479" s="15">
        <v>5.0</v>
      </c>
      <c r="G479" s="15">
        <v>1.0</v>
      </c>
      <c r="H479" s="15">
        <v>4.0</v>
      </c>
      <c r="I479" s="16">
        <v>0.0</v>
      </c>
      <c r="J479" s="17">
        <f>IFERROR(__xludf.DUMMYFUNCTION("INDEX(GOOGLEFINANCE(A479, ""open"", $J$1, $J$1), 2, 2)"),46.11)</f>
        <v>46.11</v>
      </c>
      <c r="K479" s="17">
        <f>IFERROR(__xludf.DUMMYFUNCTION("INDEX(GOOGLEFINANCE(A479, ""close"", $K$1, $K$1), 2, 2)"),45.5)</f>
        <v>45.5</v>
      </c>
      <c r="L479" s="8">
        <f t="shared" si="1"/>
        <v>-1.322923444</v>
      </c>
      <c r="M479" s="18">
        <f t="shared" si="2"/>
        <v>-13.22923444</v>
      </c>
      <c r="N479" s="18" t="str">
        <f t="shared" si="3"/>
        <v>Put Spread</v>
      </c>
      <c r="O479" s="18" t="str">
        <f t="shared" si="4"/>
        <v>Success</v>
      </c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</row>
    <row r="480">
      <c r="A480" s="13" t="s">
        <v>503</v>
      </c>
      <c r="B480" s="14" t="s">
        <v>18</v>
      </c>
      <c r="C480" s="15">
        <v>586.52</v>
      </c>
      <c r="D480" s="13" t="s">
        <v>19</v>
      </c>
      <c r="E480" s="15">
        <v>549.92</v>
      </c>
      <c r="F480" s="15">
        <v>2.0</v>
      </c>
      <c r="G480" s="15">
        <v>3.0</v>
      </c>
      <c r="H480" s="15">
        <v>5.0</v>
      </c>
      <c r="I480" s="16">
        <v>0.0</v>
      </c>
      <c r="J480" s="17">
        <f>IFERROR(__xludf.DUMMYFUNCTION("INDEX(GOOGLEFINANCE(A480, ""open"", $J$1, $J$1), 2, 2)"),567.37)</f>
        <v>567.37</v>
      </c>
      <c r="K480" s="17">
        <f>IFERROR(__xludf.DUMMYFUNCTION("INDEX(GOOGLEFINANCE(A480, ""close"", $K$1, $K$1), 2, 2)"),559.89)</f>
        <v>559.89</v>
      </c>
      <c r="L480" s="8">
        <f t="shared" si="1"/>
        <v>-1.318363678</v>
      </c>
      <c r="M480" s="18">
        <f t="shared" si="2"/>
        <v>-13.18363678</v>
      </c>
      <c r="N480" s="18" t="str">
        <f t="shared" si="3"/>
        <v>Put Spread</v>
      </c>
      <c r="O480" s="18" t="str">
        <f t="shared" si="4"/>
        <v>Success</v>
      </c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</row>
    <row r="481">
      <c r="A481" s="13" t="s">
        <v>504</v>
      </c>
      <c r="B481" s="14" t="s">
        <v>18</v>
      </c>
      <c r="C481" s="15">
        <v>56.4</v>
      </c>
      <c r="D481" s="13" t="s">
        <v>19</v>
      </c>
      <c r="E481" s="15">
        <v>51.52</v>
      </c>
      <c r="F481" s="15">
        <v>4.0</v>
      </c>
      <c r="G481" s="15">
        <v>1.0</v>
      </c>
      <c r="H481" s="15">
        <v>5.0</v>
      </c>
      <c r="I481" s="16">
        <v>0.0</v>
      </c>
      <c r="J481" s="17">
        <f>IFERROR(__xludf.DUMMYFUNCTION("INDEX(GOOGLEFINANCE(A481, ""open"", $J$1, $J$1), 2, 2)"),53.15)</f>
        <v>53.15</v>
      </c>
      <c r="K481" s="17">
        <f>IFERROR(__xludf.DUMMYFUNCTION("INDEX(GOOGLEFINANCE(A481, ""close"", $K$1, $K$1), 2, 2)"),52.45)</f>
        <v>52.45</v>
      </c>
      <c r="L481" s="8">
        <f t="shared" si="1"/>
        <v>-1.317027281</v>
      </c>
      <c r="M481" s="18">
        <f t="shared" si="2"/>
        <v>-13.17027281</v>
      </c>
      <c r="N481" s="18" t="str">
        <f t="shared" si="3"/>
        <v>Put Spread</v>
      </c>
      <c r="O481" s="18" t="str">
        <f t="shared" si="4"/>
        <v>Success</v>
      </c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</row>
    <row r="482">
      <c r="A482" s="13" t="s">
        <v>505</v>
      </c>
      <c r="B482" s="14" t="s">
        <v>18</v>
      </c>
      <c r="C482" s="15">
        <v>307.5</v>
      </c>
      <c r="D482" s="13" t="s">
        <v>19</v>
      </c>
      <c r="E482" s="15">
        <v>272.86</v>
      </c>
      <c r="F482" s="15">
        <v>3.0</v>
      </c>
      <c r="G482" s="15">
        <v>2.0</v>
      </c>
      <c r="H482" s="15">
        <v>4.0</v>
      </c>
      <c r="I482" s="16">
        <v>-3.9285148</v>
      </c>
      <c r="J482" s="17">
        <f>IFERROR(__xludf.DUMMYFUNCTION("INDEX(GOOGLEFINANCE(A482, ""open"", $J$1, $J$1), 2, 2)"),292.46)</f>
        <v>292.46</v>
      </c>
      <c r="K482" s="17">
        <f>IFERROR(__xludf.DUMMYFUNCTION("INDEX(GOOGLEFINANCE(A482, ""close"", $K$1, $K$1), 2, 2)"),288.64)</f>
        <v>288.64</v>
      </c>
      <c r="L482" s="8">
        <f t="shared" si="1"/>
        <v>-1.306161526</v>
      </c>
      <c r="M482" s="18">
        <f t="shared" si="2"/>
        <v>-13.06161526</v>
      </c>
      <c r="N482" s="18" t="str">
        <f t="shared" si="3"/>
        <v>Put Spread</v>
      </c>
      <c r="O482" s="18" t="str">
        <f t="shared" si="4"/>
        <v>Success</v>
      </c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</row>
    <row r="483">
      <c r="A483" s="13" t="s">
        <v>506</v>
      </c>
      <c r="B483" s="14" t="s">
        <v>18</v>
      </c>
      <c r="C483" s="15">
        <v>55.45</v>
      </c>
      <c r="D483" s="13" t="s">
        <v>19</v>
      </c>
      <c r="E483" s="15">
        <v>51.35</v>
      </c>
      <c r="F483" s="15">
        <v>4.0</v>
      </c>
      <c r="G483" s="15">
        <v>2.0</v>
      </c>
      <c r="H483" s="15">
        <v>4.0</v>
      </c>
      <c r="I483" s="16">
        <v>-1.391192</v>
      </c>
      <c r="J483" s="17">
        <f>IFERROR(__xludf.DUMMYFUNCTION("INDEX(GOOGLEFINANCE(A483, ""open"", $J$1, $J$1), 2, 2)"),53.22)</f>
        <v>53.22</v>
      </c>
      <c r="K483" s="17">
        <f>IFERROR(__xludf.DUMMYFUNCTION("INDEX(GOOGLEFINANCE(A483, ""close"", $K$1, $K$1), 2, 2)"),52.53)</f>
        <v>52.53</v>
      </c>
      <c r="L483" s="8">
        <f t="shared" si="1"/>
        <v>-1.296505073</v>
      </c>
      <c r="M483" s="18">
        <f t="shared" si="2"/>
        <v>-12.96505073</v>
      </c>
      <c r="N483" s="18" t="str">
        <f t="shared" si="3"/>
        <v>Put Spread</v>
      </c>
      <c r="O483" s="18" t="str">
        <f t="shared" si="4"/>
        <v>Success</v>
      </c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</row>
    <row r="484">
      <c r="A484" s="13" t="s">
        <v>507</v>
      </c>
      <c r="B484" s="14" t="s">
        <v>18</v>
      </c>
      <c r="C484" s="15">
        <v>144.22</v>
      </c>
      <c r="D484" s="13" t="s">
        <v>19</v>
      </c>
      <c r="E484" s="15">
        <v>132.44</v>
      </c>
      <c r="F484" s="15">
        <v>5.0</v>
      </c>
      <c r="G484" s="15">
        <v>4.0</v>
      </c>
      <c r="H484" s="15">
        <v>3.0</v>
      </c>
      <c r="I484" s="16">
        <v>-0.6407489</v>
      </c>
      <c r="J484" s="17">
        <f>IFERROR(__xludf.DUMMYFUNCTION("INDEX(GOOGLEFINANCE(A484, ""open"", $J$1, $J$1), 2, 2)"),138.78)</f>
        <v>138.78</v>
      </c>
      <c r="K484" s="17">
        <f>IFERROR(__xludf.DUMMYFUNCTION("INDEX(GOOGLEFINANCE(A484, ""close"", $K$1, $K$1), 2, 2)"),137.01)</f>
        <v>137.01</v>
      </c>
      <c r="L484" s="8">
        <f t="shared" si="1"/>
        <v>-1.275399914</v>
      </c>
      <c r="M484" s="18">
        <f t="shared" si="2"/>
        <v>-12.75399914</v>
      </c>
      <c r="N484" s="18" t="str">
        <f t="shared" si="3"/>
        <v>Put Spread</v>
      </c>
      <c r="O484" s="18" t="str">
        <f t="shared" si="4"/>
        <v>Success</v>
      </c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</row>
    <row r="485">
      <c r="A485" s="13" t="s">
        <v>508</v>
      </c>
      <c r="B485" s="14" t="s">
        <v>18</v>
      </c>
      <c r="C485" s="15">
        <v>53.64</v>
      </c>
      <c r="D485" s="13" t="s">
        <v>19</v>
      </c>
      <c r="E485" s="15">
        <v>48.5</v>
      </c>
      <c r="F485" s="15">
        <v>4.0</v>
      </c>
      <c r="G485" s="15">
        <v>3.0</v>
      </c>
      <c r="H485" s="15">
        <v>2.0</v>
      </c>
      <c r="I485" s="16">
        <v>0.0</v>
      </c>
      <c r="J485" s="17">
        <f>IFERROR(__xludf.DUMMYFUNCTION("INDEX(GOOGLEFINANCE(A485, ""open"", $J$1, $J$1), 2, 2)"),51.17)</f>
        <v>51.17</v>
      </c>
      <c r="K485" s="17">
        <f>IFERROR(__xludf.DUMMYFUNCTION("INDEX(GOOGLEFINANCE(A485, ""close"", $K$1, $K$1), 2, 2)"),50.52)</f>
        <v>50.52</v>
      </c>
      <c r="L485" s="8">
        <f t="shared" si="1"/>
        <v>-1.270275552</v>
      </c>
      <c r="M485" s="18">
        <f t="shared" si="2"/>
        <v>-12.70275552</v>
      </c>
      <c r="N485" s="18" t="str">
        <f t="shared" si="3"/>
        <v>Put Spread</v>
      </c>
      <c r="O485" s="18" t="str">
        <f t="shared" si="4"/>
        <v>Success</v>
      </c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</row>
    <row r="486">
      <c r="A486" s="13" t="s">
        <v>509</v>
      </c>
      <c r="B486" s="14" t="s">
        <v>18</v>
      </c>
      <c r="C486" s="15">
        <v>123.05</v>
      </c>
      <c r="D486" s="13" t="s">
        <v>19</v>
      </c>
      <c r="E486" s="15">
        <v>116.87</v>
      </c>
      <c r="F486" s="15">
        <v>4.0</v>
      </c>
      <c r="G486" s="15">
        <v>1.0</v>
      </c>
      <c r="H486" s="15">
        <v>5.0</v>
      </c>
      <c r="I486" s="16">
        <v>-1.6577668</v>
      </c>
      <c r="J486" s="17">
        <f>IFERROR(__xludf.DUMMYFUNCTION("INDEX(GOOGLEFINANCE(A486, ""open"", $J$1, $J$1), 2, 2)"),119.03)</f>
        <v>119.03</v>
      </c>
      <c r="K486" s="17">
        <f>IFERROR(__xludf.DUMMYFUNCTION("INDEX(GOOGLEFINANCE(A486, ""close"", $K$1, $K$1), 2, 2)"),117.54)</f>
        <v>117.54</v>
      </c>
      <c r="L486" s="8">
        <f t="shared" si="1"/>
        <v>-1.251785264</v>
      </c>
      <c r="M486" s="18">
        <f t="shared" si="2"/>
        <v>-12.51785264</v>
      </c>
      <c r="N486" s="18" t="str">
        <f t="shared" si="3"/>
        <v>Put Spread</v>
      </c>
      <c r="O486" s="18" t="str">
        <f t="shared" si="4"/>
        <v>Success</v>
      </c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</row>
    <row r="487">
      <c r="A487" s="13" t="s">
        <v>510</v>
      </c>
      <c r="B487" s="14" t="s">
        <v>18</v>
      </c>
      <c r="C487" s="15">
        <v>73.64</v>
      </c>
      <c r="D487" s="13" t="s">
        <v>19</v>
      </c>
      <c r="E487" s="15">
        <v>69.5</v>
      </c>
      <c r="F487" s="15">
        <v>2.0</v>
      </c>
      <c r="G487" s="15">
        <v>1.0</v>
      </c>
      <c r="H487" s="15">
        <v>0.0</v>
      </c>
      <c r="I487" s="16">
        <v>0.0</v>
      </c>
      <c r="J487" s="17">
        <f>IFERROR(__xludf.DUMMYFUNCTION("INDEX(GOOGLEFINANCE(A487, ""open"", $J$1, $J$1), 2, 2)"),71.17)</f>
        <v>71.17</v>
      </c>
      <c r="K487" s="17">
        <f>IFERROR(__xludf.DUMMYFUNCTION("INDEX(GOOGLEFINANCE(A487, ""close"", $K$1, $K$1), 2, 2)"),70.28)</f>
        <v>70.28</v>
      </c>
      <c r="L487" s="8">
        <f t="shared" si="1"/>
        <v>-1.250526907</v>
      </c>
      <c r="M487" s="18">
        <f t="shared" si="2"/>
        <v>-12.50526907</v>
      </c>
      <c r="N487" s="18" t="str">
        <f t="shared" si="3"/>
        <v>Put Spread</v>
      </c>
      <c r="O487" s="18" t="str">
        <f t="shared" si="4"/>
        <v>Success</v>
      </c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</row>
    <row r="488">
      <c r="A488" s="13" t="s">
        <v>511</v>
      </c>
      <c r="B488" s="14" t="s">
        <v>18</v>
      </c>
      <c r="C488" s="15">
        <v>94.46</v>
      </c>
      <c r="D488" s="13" t="s">
        <v>19</v>
      </c>
      <c r="E488" s="15">
        <v>88.86</v>
      </c>
      <c r="F488" s="15">
        <v>5.0</v>
      </c>
      <c r="G488" s="15">
        <v>3.0</v>
      </c>
      <c r="H488" s="15">
        <v>4.0</v>
      </c>
      <c r="I488" s="16">
        <v>0.0</v>
      </c>
      <c r="J488" s="17">
        <f>IFERROR(__xludf.DUMMYFUNCTION("INDEX(GOOGLEFINANCE(A488, ""open"", $J$1, $J$1), 2, 2)"),91.43)</f>
        <v>91.43</v>
      </c>
      <c r="K488" s="17">
        <f>IFERROR(__xludf.DUMMYFUNCTION("INDEX(GOOGLEFINANCE(A488, ""close"", $K$1, $K$1), 2, 2)"),90.29)</f>
        <v>90.29</v>
      </c>
      <c r="L488" s="8">
        <f t="shared" si="1"/>
        <v>-1.246855518</v>
      </c>
      <c r="M488" s="18">
        <f t="shared" si="2"/>
        <v>-12.46855518</v>
      </c>
      <c r="N488" s="18" t="str">
        <f t="shared" si="3"/>
        <v>Put Spread</v>
      </c>
      <c r="O488" s="18" t="str">
        <f t="shared" si="4"/>
        <v>Success</v>
      </c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</row>
    <row r="489">
      <c r="A489" s="13" t="s">
        <v>512</v>
      </c>
      <c r="B489" s="14" t="s">
        <v>18</v>
      </c>
      <c r="C489" s="15">
        <v>604.16</v>
      </c>
      <c r="D489" s="13" t="s">
        <v>19</v>
      </c>
      <c r="E489" s="15">
        <v>567.3</v>
      </c>
      <c r="F489" s="15">
        <v>4.0</v>
      </c>
      <c r="G489" s="15">
        <v>2.0</v>
      </c>
      <c r="H489" s="15">
        <v>5.0</v>
      </c>
      <c r="I489" s="16">
        <v>-1.9062734</v>
      </c>
      <c r="J489" s="17">
        <f>IFERROR(__xludf.DUMMYFUNCTION("INDEX(GOOGLEFINANCE(A489, ""open"", $J$1, $J$1), 2, 2)"),585.02)</f>
        <v>585.02</v>
      </c>
      <c r="K489" s="17">
        <f>IFERROR(__xludf.DUMMYFUNCTION("INDEX(GOOGLEFINANCE(A489, ""close"", $K$1, $K$1), 2, 2)"),577.86)</f>
        <v>577.86</v>
      </c>
      <c r="L489" s="8">
        <f t="shared" si="1"/>
        <v>-1.223889782</v>
      </c>
      <c r="M489" s="18">
        <f t="shared" si="2"/>
        <v>-12.23889782</v>
      </c>
      <c r="N489" s="18" t="str">
        <f t="shared" si="3"/>
        <v>Put Spread</v>
      </c>
      <c r="O489" s="18" t="str">
        <f t="shared" si="4"/>
        <v>Success</v>
      </c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</row>
    <row r="490">
      <c r="A490" s="13" t="s">
        <v>513</v>
      </c>
      <c r="B490" s="14" t="s">
        <v>18</v>
      </c>
      <c r="C490" s="15">
        <v>220.27</v>
      </c>
      <c r="D490" s="13" t="s">
        <v>19</v>
      </c>
      <c r="E490" s="15">
        <v>202.63</v>
      </c>
      <c r="F490" s="15">
        <v>4.0</v>
      </c>
      <c r="G490" s="15">
        <v>2.0</v>
      </c>
      <c r="H490" s="15">
        <v>0.0</v>
      </c>
      <c r="I490" s="16">
        <v>0.0</v>
      </c>
      <c r="J490" s="17">
        <f>IFERROR(__xludf.DUMMYFUNCTION("INDEX(GOOGLEFINANCE(A490, ""open"", $J$1, $J$1), 2, 2)"),210.3)</f>
        <v>210.3</v>
      </c>
      <c r="K490" s="17">
        <f>IFERROR(__xludf.DUMMYFUNCTION("INDEX(GOOGLEFINANCE(A490, ""close"", $K$1, $K$1), 2, 2)"),207.75)</f>
        <v>207.75</v>
      </c>
      <c r="L490" s="8">
        <f t="shared" si="1"/>
        <v>-1.212553495</v>
      </c>
      <c r="M490" s="18">
        <f t="shared" si="2"/>
        <v>-12.12553495</v>
      </c>
      <c r="N490" s="18" t="str">
        <f t="shared" si="3"/>
        <v>Put Spread</v>
      </c>
      <c r="O490" s="18" t="str">
        <f t="shared" si="4"/>
        <v>Success</v>
      </c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</row>
    <row r="491">
      <c r="A491" s="13" t="s">
        <v>514</v>
      </c>
      <c r="B491" s="26" t="s">
        <v>47</v>
      </c>
      <c r="C491" s="15">
        <v>32.52</v>
      </c>
      <c r="D491" s="13" t="s">
        <v>48</v>
      </c>
      <c r="E491" s="15">
        <v>35.06</v>
      </c>
      <c r="F491" s="15">
        <v>2.0</v>
      </c>
      <c r="G491" s="15">
        <v>2.0</v>
      </c>
      <c r="H491" s="15">
        <v>4.0</v>
      </c>
      <c r="I491" s="16">
        <v>0.0</v>
      </c>
      <c r="J491" s="17">
        <f>IFERROR(__xludf.DUMMYFUNCTION("INDEX(GOOGLEFINANCE(A491, ""open"", $J$1, $J$1), 2, 2)"),33.53)</f>
        <v>33.53</v>
      </c>
      <c r="K491" s="17">
        <f>IFERROR(__xludf.DUMMYFUNCTION("INDEX(GOOGLEFINANCE(A491, ""close"", $K$1, $K$1), 2, 2)"),33.92)</f>
        <v>33.92</v>
      </c>
      <c r="L491" s="20">
        <f t="shared" si="1"/>
        <v>-1.163137489</v>
      </c>
      <c r="M491" s="18">
        <f t="shared" si="2"/>
        <v>-11.63137489</v>
      </c>
      <c r="N491" s="18" t="str">
        <f t="shared" si="3"/>
        <v>Call Spread</v>
      </c>
      <c r="O491" s="18" t="str">
        <f t="shared" si="4"/>
        <v>Success</v>
      </c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</row>
    <row r="492">
      <c r="A492" s="13" t="s">
        <v>515</v>
      </c>
      <c r="B492" s="14" t="s">
        <v>18</v>
      </c>
      <c r="C492" s="15">
        <v>120.71</v>
      </c>
      <c r="D492" s="13" t="s">
        <v>19</v>
      </c>
      <c r="E492" s="15">
        <v>112.69</v>
      </c>
      <c r="F492" s="15">
        <v>4.0</v>
      </c>
      <c r="G492" s="15">
        <v>2.0</v>
      </c>
      <c r="H492" s="15">
        <v>4.0</v>
      </c>
      <c r="I492" s="16">
        <v>-1.1142351</v>
      </c>
      <c r="J492" s="17">
        <f>IFERROR(__xludf.DUMMYFUNCTION("INDEX(GOOGLEFINANCE(A492, ""open"", $J$1, $J$1), 2, 2)"),115.99)</f>
        <v>115.99</v>
      </c>
      <c r="K492" s="17">
        <f>IFERROR(__xludf.DUMMYFUNCTION("INDEX(GOOGLEFINANCE(A492, ""close"", $K$1, $K$1), 2, 2)"),114.65)</f>
        <v>114.65</v>
      </c>
      <c r="L492" s="8">
        <f t="shared" si="1"/>
        <v>-1.155272006</v>
      </c>
      <c r="M492" s="18">
        <f t="shared" si="2"/>
        <v>-11.55272006</v>
      </c>
      <c r="N492" s="18" t="str">
        <f t="shared" si="3"/>
        <v>Put Spread</v>
      </c>
      <c r="O492" s="18" t="str">
        <f t="shared" si="4"/>
        <v>Success</v>
      </c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</row>
    <row r="493">
      <c r="A493" s="13" t="s">
        <v>516</v>
      </c>
      <c r="B493" s="14" t="s">
        <v>18</v>
      </c>
      <c r="C493" s="15">
        <v>491.65</v>
      </c>
      <c r="D493" s="13" t="s">
        <v>19</v>
      </c>
      <c r="E493" s="15">
        <v>447.65</v>
      </c>
      <c r="F493" s="15">
        <v>4.0</v>
      </c>
      <c r="G493" s="15">
        <v>3.0</v>
      </c>
      <c r="H493" s="15">
        <v>3.0</v>
      </c>
      <c r="I493" s="16">
        <v>-1.1044436</v>
      </c>
      <c r="J493" s="17">
        <f>IFERROR(__xludf.DUMMYFUNCTION("INDEX(GOOGLEFINANCE(A493, ""open"", $J$1, $J$1), 2, 2)"),467.44)</f>
        <v>467.44</v>
      </c>
      <c r="K493" s="17">
        <f>IFERROR(__xludf.DUMMYFUNCTION("INDEX(GOOGLEFINANCE(A493, ""close"", $K$1, $K$1), 2, 2)"),462.13)</f>
        <v>462.13</v>
      </c>
      <c r="L493" s="8">
        <f t="shared" si="1"/>
        <v>-1.135974671</v>
      </c>
      <c r="M493" s="18">
        <f t="shared" si="2"/>
        <v>-11.35974671</v>
      </c>
      <c r="N493" s="18" t="str">
        <f t="shared" si="3"/>
        <v>Put Spread</v>
      </c>
      <c r="O493" s="18" t="str">
        <f t="shared" si="4"/>
        <v>Success</v>
      </c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</row>
    <row r="494">
      <c r="A494" s="13" t="s">
        <v>517</v>
      </c>
      <c r="B494" s="14" t="s">
        <v>18</v>
      </c>
      <c r="C494" s="15">
        <v>817.24</v>
      </c>
      <c r="D494" s="13" t="s">
        <v>19</v>
      </c>
      <c r="E494" s="15">
        <v>754.66</v>
      </c>
      <c r="F494" s="15">
        <v>5.0</v>
      </c>
      <c r="G494" s="15">
        <v>3.0</v>
      </c>
      <c r="H494" s="15">
        <v>5.0</v>
      </c>
      <c r="I494" s="16">
        <v>0.0</v>
      </c>
      <c r="J494" s="17">
        <f>IFERROR(__xludf.DUMMYFUNCTION("INDEX(GOOGLEFINANCE(A494, ""open"", $J$1, $J$1), 2, 2)"),785.03)</f>
        <v>785.03</v>
      </c>
      <c r="K494" s="17">
        <f>IFERROR(__xludf.DUMMYFUNCTION("INDEX(GOOGLEFINANCE(A494, ""close"", $K$1, $K$1), 2, 2)"),776.15)</f>
        <v>776.15</v>
      </c>
      <c r="L494" s="8">
        <f t="shared" si="1"/>
        <v>-1.131166962</v>
      </c>
      <c r="M494" s="18">
        <f t="shared" si="2"/>
        <v>-11.31166962</v>
      </c>
      <c r="N494" s="18" t="str">
        <f t="shared" si="3"/>
        <v>Put Spread</v>
      </c>
      <c r="O494" s="18" t="str">
        <f t="shared" si="4"/>
        <v>Success</v>
      </c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</row>
    <row r="495">
      <c r="A495" s="13" t="s">
        <v>518</v>
      </c>
      <c r="B495" s="14" t="s">
        <v>18</v>
      </c>
      <c r="C495" s="15">
        <v>60.68</v>
      </c>
      <c r="D495" s="13" t="s">
        <v>19</v>
      </c>
      <c r="E495" s="15">
        <v>53.16</v>
      </c>
      <c r="F495" s="15">
        <v>5.0</v>
      </c>
      <c r="G495" s="15">
        <v>2.0</v>
      </c>
      <c r="H495" s="15">
        <v>2.0</v>
      </c>
      <c r="I495" s="16">
        <v>0.0</v>
      </c>
      <c r="J495" s="17">
        <f>IFERROR(__xludf.DUMMYFUNCTION("INDEX(GOOGLEFINANCE(A495, ""open"", $J$1, $J$1), 2, 2)"),57.46)</f>
        <v>57.46</v>
      </c>
      <c r="K495" s="17">
        <f>IFERROR(__xludf.DUMMYFUNCTION("INDEX(GOOGLEFINANCE(A495, ""close"", $K$1, $K$1), 2, 2)"),56.82)</f>
        <v>56.82</v>
      </c>
      <c r="L495" s="8">
        <f t="shared" si="1"/>
        <v>-1.113818308</v>
      </c>
      <c r="M495" s="18">
        <f t="shared" si="2"/>
        <v>-11.13818308</v>
      </c>
      <c r="N495" s="18" t="str">
        <f t="shared" si="3"/>
        <v>Put Spread</v>
      </c>
      <c r="O495" s="18" t="str">
        <f t="shared" si="4"/>
        <v>Success</v>
      </c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</row>
    <row r="496">
      <c r="A496" s="13" t="s">
        <v>519</v>
      </c>
      <c r="B496" s="14" t="s">
        <v>18</v>
      </c>
      <c r="C496" s="15">
        <v>103.64</v>
      </c>
      <c r="D496" s="13" t="s">
        <v>19</v>
      </c>
      <c r="E496" s="15">
        <v>98.2</v>
      </c>
      <c r="F496" s="15">
        <v>4.0</v>
      </c>
      <c r="G496" s="15">
        <v>1.0</v>
      </c>
      <c r="H496" s="15">
        <v>5.0</v>
      </c>
      <c r="I496" s="16">
        <v>0.0</v>
      </c>
      <c r="J496" s="17">
        <f>IFERROR(__xludf.DUMMYFUNCTION("INDEX(GOOGLEFINANCE(A496, ""open"", $J$1, $J$1), 2, 2)"),100.92)</f>
        <v>100.92</v>
      </c>
      <c r="K496" s="17">
        <f>IFERROR(__xludf.DUMMYFUNCTION("INDEX(GOOGLEFINANCE(A496, ""close"", $K$1, $K$1), 2, 2)"),99.79)</f>
        <v>99.79</v>
      </c>
      <c r="L496" s="20">
        <f t="shared" si="1"/>
        <v>-1.119698771</v>
      </c>
      <c r="M496" s="18">
        <f t="shared" si="2"/>
        <v>-11.19698771</v>
      </c>
      <c r="N496" s="18" t="str">
        <f t="shared" si="3"/>
        <v>Put Spread</v>
      </c>
      <c r="O496" s="18" t="str">
        <f t="shared" si="4"/>
        <v>Success</v>
      </c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</row>
    <row r="497">
      <c r="A497" s="13" t="s">
        <v>520</v>
      </c>
      <c r="B497" s="14" t="s">
        <v>18</v>
      </c>
      <c r="C497" s="15">
        <v>25.08</v>
      </c>
      <c r="D497" s="13" t="s">
        <v>19</v>
      </c>
      <c r="E497" s="15">
        <v>22.0</v>
      </c>
      <c r="F497" s="15">
        <v>3.0</v>
      </c>
      <c r="G497" s="15">
        <v>1.0</v>
      </c>
      <c r="H497" s="15">
        <v>1.0</v>
      </c>
      <c r="I497" s="16">
        <v>0.0</v>
      </c>
      <c r="J497" s="17">
        <f>IFERROR(__xludf.DUMMYFUNCTION("INDEX(GOOGLEFINANCE(A497, ""open"", $J$1, $J$1), 2, 2)"),24.62)</f>
        <v>24.62</v>
      </c>
      <c r="K497" s="17">
        <f>IFERROR(__xludf.DUMMYFUNCTION("INDEX(GOOGLEFINANCE(A497, ""close"", $K$1, $K$1), 2, 2)"),24.35)</f>
        <v>24.35</v>
      </c>
      <c r="L497" s="8">
        <f t="shared" si="1"/>
        <v>-1.096669374</v>
      </c>
      <c r="M497" s="18">
        <f t="shared" si="2"/>
        <v>-10.96669374</v>
      </c>
      <c r="N497" s="18" t="str">
        <f t="shared" si="3"/>
        <v>Put Spread</v>
      </c>
      <c r="O497" s="18" t="str">
        <f t="shared" si="4"/>
        <v>Success</v>
      </c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</row>
    <row r="498">
      <c r="A498" s="13" t="s">
        <v>521</v>
      </c>
      <c r="B498" s="14" t="s">
        <v>18</v>
      </c>
      <c r="C498" s="15">
        <v>20.27</v>
      </c>
      <c r="D498" s="13" t="s">
        <v>19</v>
      </c>
      <c r="E498" s="15">
        <v>14.21</v>
      </c>
      <c r="F498" s="15">
        <v>3.0</v>
      </c>
      <c r="G498" s="15">
        <v>4.0</v>
      </c>
      <c r="H498" s="15">
        <v>4.0</v>
      </c>
      <c r="I498" s="16">
        <v>-4.3077343</v>
      </c>
      <c r="J498" s="17">
        <f>IFERROR(__xludf.DUMMYFUNCTION("INDEX(GOOGLEFINANCE(A498, ""open"", $J$1, $J$1), 2, 2)"),17.4)</f>
        <v>17.4</v>
      </c>
      <c r="K498" s="17">
        <f>IFERROR(__xludf.DUMMYFUNCTION("INDEX(GOOGLEFINANCE(A498, ""close"", $K$1, $K$1), 2, 2)"),17.22)</f>
        <v>17.22</v>
      </c>
      <c r="L498" s="8">
        <f t="shared" si="1"/>
        <v>-1.034482759</v>
      </c>
      <c r="M498" s="18">
        <f t="shared" si="2"/>
        <v>-10.34482759</v>
      </c>
      <c r="N498" s="18" t="str">
        <f t="shared" si="3"/>
        <v>Put Spread</v>
      </c>
      <c r="O498" s="18" t="str">
        <f t="shared" si="4"/>
        <v>Success</v>
      </c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</row>
    <row r="499">
      <c r="A499" s="13" t="s">
        <v>522</v>
      </c>
      <c r="B499" s="14" t="s">
        <v>18</v>
      </c>
      <c r="C499" s="15">
        <v>54.35</v>
      </c>
      <c r="D499" s="13" t="s">
        <v>19</v>
      </c>
      <c r="E499" s="15">
        <v>50.47</v>
      </c>
      <c r="F499" s="15">
        <v>5.0</v>
      </c>
      <c r="G499" s="15">
        <v>0.0</v>
      </c>
      <c r="H499" s="15">
        <v>3.0</v>
      </c>
      <c r="I499" s="16">
        <v>0.0</v>
      </c>
      <c r="J499" s="17">
        <f>IFERROR(__xludf.DUMMYFUNCTION("INDEX(GOOGLEFINANCE(A499, ""open"", $J$1, $J$1), 2, 2)"),52.8)</f>
        <v>52.8</v>
      </c>
      <c r="K499" s="17">
        <f>IFERROR(__xludf.DUMMYFUNCTION("INDEX(GOOGLEFINANCE(A499, ""close"", $K$1, $K$1), 2, 2)"),52.25)</f>
        <v>52.25</v>
      </c>
      <c r="L499" s="8">
        <f t="shared" si="1"/>
        <v>-1.041666667</v>
      </c>
      <c r="M499" s="18">
        <f t="shared" si="2"/>
        <v>-10.41666667</v>
      </c>
      <c r="N499" s="18" t="str">
        <f t="shared" si="3"/>
        <v>Put Spread</v>
      </c>
      <c r="O499" s="18" t="str">
        <f t="shared" si="4"/>
        <v>Success</v>
      </c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</row>
    <row r="500">
      <c r="A500" s="13" t="s">
        <v>523</v>
      </c>
      <c r="B500" s="14" t="s">
        <v>18</v>
      </c>
      <c r="C500" s="15">
        <v>372.89</v>
      </c>
      <c r="D500" s="13" t="s">
        <v>19</v>
      </c>
      <c r="E500" s="15">
        <v>338.51</v>
      </c>
      <c r="F500" s="15">
        <v>4.0</v>
      </c>
      <c r="G500" s="15">
        <v>5.0</v>
      </c>
      <c r="H500" s="15">
        <v>3.0</v>
      </c>
      <c r="I500" s="16">
        <v>0.76798618</v>
      </c>
      <c r="J500" s="17">
        <f>IFERROR(__xludf.DUMMYFUNCTION("INDEX(GOOGLEFINANCE(A500, ""open"", $J$1, $J$1), 2, 2)"),354.3)</f>
        <v>354.3</v>
      </c>
      <c r="K500" s="17">
        <f>IFERROR(__xludf.DUMMYFUNCTION("INDEX(GOOGLEFINANCE(A500, ""close"", $K$1, $K$1), 2, 2)"),350.75)</f>
        <v>350.75</v>
      </c>
      <c r="L500" s="8">
        <f t="shared" si="1"/>
        <v>-1.001975727</v>
      </c>
      <c r="M500" s="18">
        <f t="shared" si="2"/>
        <v>-10.01975727</v>
      </c>
      <c r="N500" s="18" t="str">
        <f t="shared" si="3"/>
        <v>Put Spread</v>
      </c>
      <c r="O500" s="18" t="str">
        <f t="shared" si="4"/>
        <v>Success</v>
      </c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</row>
    <row r="501">
      <c r="A501" s="13" t="s">
        <v>524</v>
      </c>
      <c r="B501" s="14" t="s">
        <v>18</v>
      </c>
      <c r="C501" s="15">
        <v>17.38</v>
      </c>
      <c r="D501" s="13" t="s">
        <v>19</v>
      </c>
      <c r="E501" s="15">
        <v>14.1</v>
      </c>
      <c r="F501" s="15">
        <v>5.0</v>
      </c>
      <c r="G501" s="15">
        <v>3.0</v>
      </c>
      <c r="H501" s="15">
        <v>1.0</v>
      </c>
      <c r="I501" s="16">
        <v>0.929222701617606</v>
      </c>
      <c r="J501" s="17">
        <f>IFERROR(__xludf.DUMMYFUNCTION("INDEX(GOOGLEFINANCE(A501, ""open"", $J$1, $J$1), 2, 2)"),16.09)</f>
        <v>16.09</v>
      </c>
      <c r="K501" s="17">
        <f>IFERROR(__xludf.DUMMYFUNCTION("INDEX(GOOGLEFINANCE(A501, ""close"", $K$1, $K$1), 2, 2)"),15.93)</f>
        <v>15.93</v>
      </c>
      <c r="L501" s="8">
        <f t="shared" si="1"/>
        <v>-0.9944064636</v>
      </c>
      <c r="M501" s="18">
        <f t="shared" si="2"/>
        <v>-9.944064636</v>
      </c>
      <c r="N501" s="18" t="str">
        <f t="shared" si="3"/>
        <v>Put Spread</v>
      </c>
      <c r="O501" s="18" t="str">
        <f t="shared" si="4"/>
        <v>Success</v>
      </c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</row>
    <row r="502">
      <c r="A502" s="13" t="s">
        <v>525</v>
      </c>
      <c r="B502" s="26" t="s">
        <v>47</v>
      </c>
      <c r="C502" s="15">
        <v>71.92</v>
      </c>
      <c r="D502" s="13" t="s">
        <v>48</v>
      </c>
      <c r="E502" s="15">
        <v>77.78</v>
      </c>
      <c r="F502" s="15">
        <v>0.0</v>
      </c>
      <c r="G502" s="15">
        <v>1.0</v>
      </c>
      <c r="H502" s="15">
        <v>2.0</v>
      </c>
      <c r="I502" s="16">
        <v>0.0</v>
      </c>
      <c r="J502" s="17">
        <f>IFERROR(__xludf.DUMMYFUNCTION("INDEX(GOOGLEFINANCE(A502, ""open"", $J$1, $J$1), 2, 2)"),76.7)</f>
        <v>76.7</v>
      </c>
      <c r="K502" s="17">
        <f>IFERROR(__xludf.DUMMYFUNCTION("INDEX(GOOGLEFINANCE(A502, ""close"", $K$1, $K$1), 2, 2)"),77.46)</f>
        <v>77.46</v>
      </c>
      <c r="L502" s="8">
        <f t="shared" si="1"/>
        <v>-0.9908735332</v>
      </c>
      <c r="M502" s="18">
        <f t="shared" si="2"/>
        <v>-9.908735332</v>
      </c>
      <c r="N502" s="18" t="str">
        <f t="shared" si="3"/>
        <v>Call Spread</v>
      </c>
      <c r="O502" s="18" t="str">
        <f t="shared" si="4"/>
        <v>Success</v>
      </c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</row>
    <row r="503">
      <c r="A503" s="13" t="s">
        <v>526</v>
      </c>
      <c r="B503" s="14" t="s">
        <v>18</v>
      </c>
      <c r="C503" s="15">
        <v>321.86</v>
      </c>
      <c r="D503" s="13" t="s">
        <v>19</v>
      </c>
      <c r="E503" s="15">
        <v>306.18</v>
      </c>
      <c r="F503" s="15">
        <v>5.0</v>
      </c>
      <c r="G503" s="15">
        <v>1.0</v>
      </c>
      <c r="H503" s="15">
        <v>5.0</v>
      </c>
      <c r="I503" s="16">
        <v>0.0</v>
      </c>
      <c r="J503" s="17">
        <f>IFERROR(__xludf.DUMMYFUNCTION("INDEX(GOOGLEFINANCE(A503, ""open"", $J$1, $J$1), 2, 2)"),313.67)</f>
        <v>313.67</v>
      </c>
      <c r="K503" s="17">
        <f>IFERROR(__xludf.DUMMYFUNCTION("INDEX(GOOGLEFINANCE(A503, ""close"", $K$1, $K$1), 2, 2)"),310.74)</f>
        <v>310.74</v>
      </c>
      <c r="L503" s="8">
        <f t="shared" si="1"/>
        <v>-0.9341027194</v>
      </c>
      <c r="M503" s="18">
        <f t="shared" si="2"/>
        <v>-9.341027194</v>
      </c>
      <c r="N503" s="18" t="str">
        <f t="shared" si="3"/>
        <v>Put Spread</v>
      </c>
      <c r="O503" s="18" t="str">
        <f t="shared" si="4"/>
        <v>Success</v>
      </c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</row>
    <row r="504">
      <c r="A504" s="13" t="s">
        <v>527</v>
      </c>
      <c r="B504" s="14" t="s">
        <v>18</v>
      </c>
      <c r="C504" s="15">
        <v>80.09</v>
      </c>
      <c r="D504" s="13" t="s">
        <v>19</v>
      </c>
      <c r="E504" s="15">
        <v>68.33</v>
      </c>
      <c r="F504" s="15">
        <v>3.0</v>
      </c>
      <c r="G504" s="15">
        <v>2.0</v>
      </c>
      <c r="H504" s="15">
        <v>3.0</v>
      </c>
      <c r="I504" s="16">
        <v>0.0</v>
      </c>
      <c r="J504" s="17">
        <f>IFERROR(__xludf.DUMMYFUNCTION("INDEX(GOOGLEFINANCE(A504, ""open"", $J$1, $J$1), 2, 2)"),75.15)</f>
        <v>75.15</v>
      </c>
      <c r="K504" s="17">
        <f>IFERROR(__xludf.DUMMYFUNCTION("INDEX(GOOGLEFINANCE(A504, ""close"", $K$1, $K$1), 2, 2)"),74.45)</f>
        <v>74.45</v>
      </c>
      <c r="L504" s="8">
        <f t="shared" si="1"/>
        <v>-0.9314703925</v>
      </c>
      <c r="M504" s="18">
        <f t="shared" si="2"/>
        <v>-9.314703925</v>
      </c>
      <c r="N504" s="18" t="str">
        <f t="shared" si="3"/>
        <v>Put Spread</v>
      </c>
      <c r="O504" s="18" t="str">
        <f t="shared" si="4"/>
        <v>Success</v>
      </c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</row>
    <row r="505">
      <c r="A505" s="13" t="s">
        <v>528</v>
      </c>
      <c r="B505" s="14" t="s">
        <v>18</v>
      </c>
      <c r="C505" s="15">
        <v>62.73</v>
      </c>
      <c r="D505" s="13" t="s">
        <v>19</v>
      </c>
      <c r="E505" s="15">
        <v>59.37</v>
      </c>
      <c r="F505" s="15">
        <v>2.0</v>
      </c>
      <c r="G505" s="15">
        <v>2.0</v>
      </c>
      <c r="H505" s="15">
        <v>5.0</v>
      </c>
      <c r="I505" s="16">
        <v>0.0</v>
      </c>
      <c r="J505" s="17">
        <f>IFERROR(__xludf.DUMMYFUNCTION("INDEX(GOOGLEFINANCE(A505, ""open"", $J$1, $J$1), 2, 2)"),60.69)</f>
        <v>60.69</v>
      </c>
      <c r="K505" s="17">
        <f>IFERROR(__xludf.DUMMYFUNCTION("INDEX(GOOGLEFINANCE(A505, ""close"", $K$1, $K$1), 2, 2)"),60.14)</f>
        <v>60.14</v>
      </c>
      <c r="L505" s="8">
        <f t="shared" si="1"/>
        <v>-0.9062448509</v>
      </c>
      <c r="M505" s="18">
        <f t="shared" si="2"/>
        <v>-9.062448509</v>
      </c>
      <c r="N505" s="18" t="str">
        <f t="shared" si="3"/>
        <v>Put Spread</v>
      </c>
      <c r="O505" s="18" t="str">
        <f t="shared" si="4"/>
        <v>Success</v>
      </c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</row>
    <row r="506">
      <c r="A506" s="13" t="s">
        <v>529</v>
      </c>
      <c r="B506" s="14" t="s">
        <v>18</v>
      </c>
      <c r="C506" s="15">
        <v>300.12</v>
      </c>
      <c r="D506" s="13" t="s">
        <v>19</v>
      </c>
      <c r="E506" s="15">
        <v>280.6</v>
      </c>
      <c r="F506" s="15">
        <v>2.0</v>
      </c>
      <c r="G506" s="15">
        <v>3.0</v>
      </c>
      <c r="H506" s="15">
        <v>2.0</v>
      </c>
      <c r="I506" s="16">
        <v>0.0</v>
      </c>
      <c r="J506" s="17">
        <f>IFERROR(__xludf.DUMMYFUNCTION("INDEX(GOOGLEFINANCE(A506, ""open"", $J$1, $J$1), 2, 2)"),290.94)</f>
        <v>290.94</v>
      </c>
      <c r="K506" s="17">
        <f>IFERROR(__xludf.DUMMYFUNCTION("INDEX(GOOGLEFINANCE(A506, ""close"", $K$1, $K$1), 2, 2)"),288.35)</f>
        <v>288.35</v>
      </c>
      <c r="L506" s="8">
        <f t="shared" si="1"/>
        <v>-0.8902179143</v>
      </c>
      <c r="M506" s="18">
        <f t="shared" si="2"/>
        <v>-8.902179143</v>
      </c>
      <c r="N506" s="18" t="str">
        <f t="shared" si="3"/>
        <v>Put Spread</v>
      </c>
      <c r="O506" s="18" t="str">
        <f t="shared" si="4"/>
        <v>Success</v>
      </c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</row>
    <row r="507">
      <c r="A507" s="13" t="s">
        <v>530</v>
      </c>
      <c r="B507" s="14" t="s">
        <v>18</v>
      </c>
      <c r="C507" s="15">
        <v>110.02</v>
      </c>
      <c r="D507" s="13" t="s">
        <v>19</v>
      </c>
      <c r="E507" s="15">
        <v>104.98</v>
      </c>
      <c r="F507" s="15">
        <v>3.0</v>
      </c>
      <c r="G507" s="15">
        <v>2.0</v>
      </c>
      <c r="H507" s="15">
        <v>4.0</v>
      </c>
      <c r="I507" s="16">
        <v>0.0</v>
      </c>
      <c r="J507" s="17">
        <f>IFERROR(__xludf.DUMMYFUNCTION("INDEX(GOOGLEFINANCE(A507, ""open"", $J$1, $J$1), 2, 2)"),107.08)</f>
        <v>107.08</v>
      </c>
      <c r="K507" s="17">
        <f>IFERROR(__xludf.DUMMYFUNCTION("INDEX(GOOGLEFINANCE(A507, ""close"", $K$1, $K$1), 2, 2)"),106.14)</f>
        <v>106.14</v>
      </c>
      <c r="L507" s="20">
        <f t="shared" si="1"/>
        <v>-0.8778483377</v>
      </c>
      <c r="M507" s="18">
        <f t="shared" si="2"/>
        <v>-8.778483377</v>
      </c>
      <c r="N507" s="18" t="str">
        <f t="shared" si="3"/>
        <v>Put Spread</v>
      </c>
      <c r="O507" s="18" t="str">
        <f t="shared" si="4"/>
        <v>Success</v>
      </c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</row>
    <row r="508">
      <c r="A508" s="13" t="s">
        <v>531</v>
      </c>
      <c r="B508" s="14" t="s">
        <v>18</v>
      </c>
      <c r="C508" s="15">
        <v>92.93</v>
      </c>
      <c r="D508" s="13" t="s">
        <v>19</v>
      </c>
      <c r="E508" s="15">
        <v>74.77</v>
      </c>
      <c r="F508" s="15">
        <v>3.0</v>
      </c>
      <c r="G508" s="15">
        <v>2.0</v>
      </c>
      <c r="H508" s="15">
        <v>4.0</v>
      </c>
      <c r="I508" s="16">
        <v>-3.4710757</v>
      </c>
      <c r="J508" s="17">
        <f>IFERROR(__xludf.DUMMYFUNCTION("INDEX(GOOGLEFINANCE(A508, ""open"", $J$1, $J$1), 2, 2)"),84.36)</f>
        <v>84.36</v>
      </c>
      <c r="K508" s="17">
        <f>IFERROR(__xludf.DUMMYFUNCTION("INDEX(GOOGLEFINANCE(A508, ""close"", $K$1, $K$1), 2, 2)"),83.62)</f>
        <v>83.62</v>
      </c>
      <c r="L508" s="8">
        <f t="shared" si="1"/>
        <v>-0.8771929825</v>
      </c>
      <c r="M508" s="18">
        <f t="shared" si="2"/>
        <v>-8.771929825</v>
      </c>
      <c r="N508" s="18" t="str">
        <f t="shared" si="3"/>
        <v>Put Spread</v>
      </c>
      <c r="O508" s="18" t="str">
        <f t="shared" si="4"/>
        <v>Success</v>
      </c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</row>
    <row r="509">
      <c r="A509" s="13" t="s">
        <v>532</v>
      </c>
      <c r="B509" s="14" t="s">
        <v>18</v>
      </c>
      <c r="C509" s="15">
        <v>109.9</v>
      </c>
      <c r="D509" s="13" t="s">
        <v>19</v>
      </c>
      <c r="E509" s="15">
        <v>102.38</v>
      </c>
      <c r="F509" s="15">
        <v>2.0</v>
      </c>
      <c r="G509" s="15">
        <v>3.0</v>
      </c>
      <c r="H509" s="15">
        <v>5.0</v>
      </c>
      <c r="I509" s="16">
        <v>0.0</v>
      </c>
      <c r="J509" s="17">
        <f>IFERROR(__xludf.DUMMYFUNCTION("INDEX(GOOGLEFINANCE(A509, ""open"", $J$1, $J$1), 2, 2)"),106.33)</f>
        <v>106.33</v>
      </c>
      <c r="K509" s="17">
        <f>IFERROR(__xludf.DUMMYFUNCTION("INDEX(GOOGLEFINANCE(A509, ""close"", $K$1, $K$1), 2, 2)"),105.41)</f>
        <v>105.41</v>
      </c>
      <c r="L509" s="8">
        <f t="shared" si="1"/>
        <v>-0.865230885</v>
      </c>
      <c r="M509" s="18">
        <f t="shared" si="2"/>
        <v>-8.65230885</v>
      </c>
      <c r="N509" s="18" t="str">
        <f t="shared" si="3"/>
        <v>Put Spread</v>
      </c>
      <c r="O509" s="18" t="str">
        <f t="shared" si="4"/>
        <v>Success</v>
      </c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</row>
    <row r="510">
      <c r="A510" s="13" t="s">
        <v>533</v>
      </c>
      <c r="B510" s="14" t="s">
        <v>18</v>
      </c>
      <c r="C510" s="15">
        <v>131.65</v>
      </c>
      <c r="D510" s="13" t="s">
        <v>19</v>
      </c>
      <c r="E510" s="15">
        <v>104.21</v>
      </c>
      <c r="F510" s="15">
        <v>3.0</v>
      </c>
      <c r="G510" s="15">
        <v>2.0</v>
      </c>
      <c r="H510" s="15">
        <v>4.0</v>
      </c>
      <c r="I510" s="16">
        <v>-4.3043723</v>
      </c>
      <c r="J510" s="17">
        <f>IFERROR(__xludf.DUMMYFUNCTION("INDEX(GOOGLEFINANCE(A510, ""open"", $J$1, $J$1), 2, 2)"),118.69)</f>
        <v>118.69</v>
      </c>
      <c r="K510" s="17">
        <f>IFERROR(__xludf.DUMMYFUNCTION("INDEX(GOOGLEFINANCE(A510, ""close"", $K$1, $K$1), 2, 2)"),117.71)</f>
        <v>117.71</v>
      </c>
      <c r="L510" s="8">
        <f t="shared" si="1"/>
        <v>-0.8256803438</v>
      </c>
      <c r="M510" s="18">
        <f t="shared" si="2"/>
        <v>-8.256803438</v>
      </c>
      <c r="N510" s="18" t="str">
        <f t="shared" si="3"/>
        <v>Put Spread</v>
      </c>
      <c r="O510" s="18" t="str">
        <f t="shared" si="4"/>
        <v>Success</v>
      </c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</row>
    <row r="511">
      <c r="A511" s="13" t="s">
        <v>534</v>
      </c>
      <c r="B511" s="14" t="s">
        <v>18</v>
      </c>
      <c r="C511" s="15">
        <v>73.58</v>
      </c>
      <c r="D511" s="13" t="s">
        <v>19</v>
      </c>
      <c r="E511" s="15">
        <v>68.78</v>
      </c>
      <c r="F511" s="15">
        <v>5.0</v>
      </c>
      <c r="G511" s="15">
        <v>2.0</v>
      </c>
      <c r="H511" s="15">
        <v>3.0</v>
      </c>
      <c r="I511" s="16">
        <v>1.66412340819007</v>
      </c>
      <c r="J511" s="17">
        <f>IFERROR(__xludf.DUMMYFUNCTION("INDEX(GOOGLEFINANCE(A511, ""open"", $J$1, $J$1), 2, 2)"),71.05)</f>
        <v>71.05</v>
      </c>
      <c r="K511" s="17">
        <f>IFERROR(__xludf.DUMMYFUNCTION("INDEX(GOOGLEFINANCE(A511, ""close"", $K$1, $K$1), 2, 2)"),70.48)</f>
        <v>70.48</v>
      </c>
      <c r="L511" s="8">
        <f t="shared" si="1"/>
        <v>-0.8022519353</v>
      </c>
      <c r="M511" s="18">
        <f t="shared" si="2"/>
        <v>-8.022519353</v>
      </c>
      <c r="N511" s="18" t="str">
        <f t="shared" si="3"/>
        <v>Put Spread</v>
      </c>
      <c r="O511" s="18" t="str">
        <f t="shared" si="4"/>
        <v>Success</v>
      </c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</row>
    <row r="512">
      <c r="A512" s="13" t="s">
        <v>535</v>
      </c>
      <c r="B512" s="14" t="s">
        <v>18</v>
      </c>
      <c r="C512" s="15">
        <v>22.93</v>
      </c>
      <c r="D512" s="13" t="s">
        <v>19</v>
      </c>
      <c r="E512" s="15">
        <v>20.55</v>
      </c>
      <c r="F512" s="15">
        <v>5.0</v>
      </c>
      <c r="G512" s="15">
        <v>3.0</v>
      </c>
      <c r="H512" s="15">
        <v>5.0</v>
      </c>
      <c r="I512" s="16">
        <v>0.0</v>
      </c>
      <c r="J512" s="17">
        <f>IFERROR(__xludf.DUMMYFUNCTION("INDEX(GOOGLEFINANCE(A512, ""open"", $J$1, $J$1), 2, 2)"),21.54)</f>
        <v>21.54</v>
      </c>
      <c r="K512" s="17">
        <f>IFERROR(__xludf.DUMMYFUNCTION("INDEX(GOOGLEFINANCE(A512, ""close"", $K$1, $K$1), 2, 2)"),21.37)</f>
        <v>21.37</v>
      </c>
      <c r="L512" s="8">
        <f t="shared" si="1"/>
        <v>-0.7892293408</v>
      </c>
      <c r="M512" s="18">
        <f t="shared" si="2"/>
        <v>-7.892293408</v>
      </c>
      <c r="N512" s="18" t="str">
        <f t="shared" si="3"/>
        <v>Put Spread</v>
      </c>
      <c r="O512" s="18" t="str">
        <f t="shared" si="4"/>
        <v>Success</v>
      </c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</row>
    <row r="513">
      <c r="A513" s="13" t="s">
        <v>536</v>
      </c>
      <c r="B513" s="14" t="s">
        <v>18</v>
      </c>
      <c r="C513" s="15">
        <v>71.27</v>
      </c>
      <c r="D513" s="13" t="s">
        <v>19</v>
      </c>
      <c r="E513" s="15">
        <v>59.47</v>
      </c>
      <c r="F513" s="15">
        <v>4.0</v>
      </c>
      <c r="G513" s="15">
        <v>2.0</v>
      </c>
      <c r="H513" s="15">
        <v>5.0</v>
      </c>
      <c r="I513" s="16">
        <v>0.0</v>
      </c>
      <c r="J513" s="17">
        <f>IFERROR(__xludf.DUMMYFUNCTION("INDEX(GOOGLEFINANCE(A513, ""open"", $J$1, $J$1), 2, 2)"),65.73)</f>
        <v>65.73</v>
      </c>
      <c r="K513" s="17">
        <f>IFERROR(__xludf.DUMMYFUNCTION("INDEX(GOOGLEFINANCE(A513, ""close"", $K$1, $K$1), 2, 2)"),65.22)</f>
        <v>65.22</v>
      </c>
      <c r="L513" s="8">
        <f t="shared" si="1"/>
        <v>-0.7759014149</v>
      </c>
      <c r="M513" s="18">
        <f t="shared" si="2"/>
        <v>-7.759014149</v>
      </c>
      <c r="N513" s="18" t="str">
        <f t="shared" si="3"/>
        <v>Put Spread</v>
      </c>
      <c r="O513" s="18" t="str">
        <f t="shared" si="4"/>
        <v>Success</v>
      </c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</row>
    <row r="514">
      <c r="A514" s="13" t="s">
        <v>537</v>
      </c>
      <c r="B514" s="14" t="s">
        <v>18</v>
      </c>
      <c r="C514" s="15">
        <v>11.38</v>
      </c>
      <c r="D514" s="13" t="s">
        <v>19</v>
      </c>
      <c r="E514" s="15">
        <v>10.32</v>
      </c>
      <c r="F514" s="15">
        <v>2.0</v>
      </c>
      <c r="G514" s="15">
        <v>1.0</v>
      </c>
      <c r="H514" s="15">
        <v>5.0</v>
      </c>
      <c r="I514" s="16">
        <v>0.0</v>
      </c>
      <c r="J514" s="17">
        <f>IFERROR(__xludf.DUMMYFUNCTION("INDEX(GOOGLEFINANCE(A514, ""open"", $J$1, $J$1), 2, 2)"),10.81)</f>
        <v>10.81</v>
      </c>
      <c r="K514" s="17">
        <f>IFERROR(__xludf.DUMMYFUNCTION("INDEX(GOOGLEFINANCE(A514, ""close"", $K$1, $K$1), 2, 2)"),10.73)</f>
        <v>10.73</v>
      </c>
      <c r="L514" s="8">
        <f t="shared" si="1"/>
        <v>-0.7400555042</v>
      </c>
      <c r="M514" s="18">
        <f t="shared" si="2"/>
        <v>-7.400555042</v>
      </c>
      <c r="N514" s="18" t="str">
        <f t="shared" si="3"/>
        <v>Put Spread</v>
      </c>
      <c r="O514" s="18" t="str">
        <f t="shared" si="4"/>
        <v>Success</v>
      </c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</row>
    <row r="515">
      <c r="A515" s="13" t="s">
        <v>538</v>
      </c>
      <c r="B515" s="14" t="s">
        <v>18</v>
      </c>
      <c r="C515" s="15">
        <v>6.74</v>
      </c>
      <c r="D515" s="13" t="s">
        <v>19</v>
      </c>
      <c r="E515" s="15">
        <v>4.18</v>
      </c>
      <c r="F515" s="15">
        <v>5.0</v>
      </c>
      <c r="G515" s="15">
        <v>3.0</v>
      </c>
      <c r="H515" s="15">
        <v>4.0</v>
      </c>
      <c r="I515" s="16">
        <v>0.0</v>
      </c>
      <c r="J515" s="17">
        <f>IFERROR(__xludf.DUMMYFUNCTION("INDEX(GOOGLEFINANCE(A515, ""open"", $J$1, $J$1), 2, 2)"),5.45)</f>
        <v>5.45</v>
      </c>
      <c r="K515" s="17">
        <f>IFERROR(__xludf.DUMMYFUNCTION("INDEX(GOOGLEFINANCE(A515, ""close"", $K$1, $K$1), 2, 2)"),5.41)</f>
        <v>5.41</v>
      </c>
      <c r="L515" s="8">
        <f t="shared" si="1"/>
        <v>-0.7339449541</v>
      </c>
      <c r="M515" s="18">
        <f t="shared" si="2"/>
        <v>-7.339449541</v>
      </c>
      <c r="N515" s="18" t="str">
        <f t="shared" si="3"/>
        <v>Put Spread</v>
      </c>
      <c r="O515" s="18" t="str">
        <f t="shared" si="4"/>
        <v>Success</v>
      </c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</row>
    <row r="516">
      <c r="A516" s="13" t="s">
        <v>539</v>
      </c>
      <c r="B516" s="14" t="s">
        <v>18</v>
      </c>
      <c r="C516" s="15">
        <v>109.22</v>
      </c>
      <c r="D516" s="13" t="s">
        <v>19</v>
      </c>
      <c r="E516" s="15">
        <v>107.62</v>
      </c>
      <c r="F516" s="15">
        <v>4.0</v>
      </c>
      <c r="G516" s="15">
        <v>1.0</v>
      </c>
      <c r="H516" s="15">
        <v>4.0</v>
      </c>
      <c r="I516" s="16">
        <v>0.966654941336312</v>
      </c>
      <c r="J516" s="17">
        <f>IFERROR(__xludf.DUMMYFUNCTION("INDEX(GOOGLEFINANCE(A516, ""open"", $J$1, $J$1), 2, 2)"),107.46)</f>
        <v>107.46</v>
      </c>
      <c r="K516" s="17">
        <f>IFERROR(__xludf.DUMMYFUNCTION("INDEX(GOOGLEFINANCE(A516, ""close"", $K$1, $K$1), 2, 2)"),106.69)</f>
        <v>106.69</v>
      </c>
      <c r="L516" s="8">
        <f t="shared" si="1"/>
        <v>-0.7165456914</v>
      </c>
      <c r="M516" s="18">
        <f t="shared" si="2"/>
        <v>-7.165456914</v>
      </c>
      <c r="N516" s="18" t="str">
        <f t="shared" si="3"/>
        <v>Put Spread</v>
      </c>
      <c r="O516" s="18" t="str">
        <f t="shared" si="4"/>
        <v>No</v>
      </c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</row>
    <row r="517">
      <c r="A517" s="13" t="s">
        <v>540</v>
      </c>
      <c r="B517" s="14" t="s">
        <v>18</v>
      </c>
      <c r="C517" s="15">
        <v>56.31</v>
      </c>
      <c r="D517" s="13" t="s">
        <v>19</v>
      </c>
      <c r="E517" s="15">
        <v>52.68</v>
      </c>
      <c r="F517" s="15">
        <v>4.0</v>
      </c>
      <c r="G517" s="15">
        <v>2.0</v>
      </c>
      <c r="H517" s="15">
        <v>4.0</v>
      </c>
      <c r="I517" s="16">
        <v>-1.1984206</v>
      </c>
      <c r="J517" s="17">
        <f>IFERROR(__xludf.DUMMYFUNCTION("INDEX(GOOGLEFINANCE(A517, ""open"", $J$1, $J$1), 2, 2)"),54.59)</f>
        <v>54.59</v>
      </c>
      <c r="K517" s="17">
        <f>IFERROR(__xludf.DUMMYFUNCTION("INDEX(GOOGLEFINANCE(A517, ""close"", $K$1, $K$1), 2, 2)"),54.2)</f>
        <v>54.2</v>
      </c>
      <c r="L517" s="8">
        <f t="shared" si="1"/>
        <v>-0.7144165598</v>
      </c>
      <c r="M517" s="18">
        <f t="shared" si="2"/>
        <v>-7.144165598</v>
      </c>
      <c r="N517" s="18" t="str">
        <f t="shared" si="3"/>
        <v>Put Spread</v>
      </c>
      <c r="O517" s="18" t="str">
        <f t="shared" si="4"/>
        <v>Success</v>
      </c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</row>
    <row r="518">
      <c r="A518" s="13" t="s">
        <v>541</v>
      </c>
      <c r="B518" s="26" t="s">
        <v>47</v>
      </c>
      <c r="C518" s="15">
        <v>106.32</v>
      </c>
      <c r="D518" s="13" t="s">
        <v>48</v>
      </c>
      <c r="E518" s="15">
        <v>111.66</v>
      </c>
      <c r="F518" s="15">
        <v>1.0</v>
      </c>
      <c r="G518" s="15">
        <v>3.0</v>
      </c>
      <c r="H518" s="15">
        <v>4.0</v>
      </c>
      <c r="I518" s="16">
        <v>0.729388462264703</v>
      </c>
      <c r="J518" s="17">
        <f>IFERROR(__xludf.DUMMYFUNCTION("INDEX(GOOGLEFINANCE(A518, ""open"", $J$1, $J$1), 2, 2)"),108.86)</f>
        <v>108.86</v>
      </c>
      <c r="K518" s="17">
        <f>IFERROR(__xludf.DUMMYFUNCTION("INDEX(GOOGLEFINANCE(A518, ""close"", $K$1, $K$1), 2, 2)"),109.65)</f>
        <v>109.65</v>
      </c>
      <c r="L518" s="8">
        <f t="shared" si="1"/>
        <v>-0.7257027375</v>
      </c>
      <c r="M518" s="18">
        <f t="shared" si="2"/>
        <v>-7.257027375</v>
      </c>
      <c r="N518" s="18" t="str">
        <f t="shared" si="3"/>
        <v>Call Spread</v>
      </c>
      <c r="O518" s="18" t="str">
        <f t="shared" si="4"/>
        <v>Success</v>
      </c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</row>
    <row r="519">
      <c r="A519" s="13" t="s">
        <v>542</v>
      </c>
      <c r="B519" s="14" t="s">
        <v>18</v>
      </c>
      <c r="C519" s="15">
        <v>77.41</v>
      </c>
      <c r="D519" s="13" t="s">
        <v>19</v>
      </c>
      <c r="E519" s="15">
        <v>73.95</v>
      </c>
      <c r="F519" s="15">
        <v>5.0</v>
      </c>
      <c r="G519" s="15">
        <v>2.0</v>
      </c>
      <c r="H519" s="15">
        <v>5.0</v>
      </c>
      <c r="I519" s="16">
        <v>0.0</v>
      </c>
      <c r="J519" s="17">
        <f>IFERROR(__xludf.DUMMYFUNCTION("INDEX(GOOGLEFINANCE(A519, ""open"", $J$1, $J$1), 2, 2)"),74.58)</f>
        <v>74.58</v>
      </c>
      <c r="K519" s="17">
        <f>IFERROR(__xludf.DUMMYFUNCTION("INDEX(GOOGLEFINANCE(A519, ""close"", $K$1, $K$1), 2, 2)"),74.07)</f>
        <v>74.07</v>
      </c>
      <c r="L519" s="8">
        <f t="shared" si="1"/>
        <v>-0.6838294449</v>
      </c>
      <c r="M519" s="18">
        <f t="shared" si="2"/>
        <v>-6.838294449</v>
      </c>
      <c r="N519" s="18" t="str">
        <f t="shared" si="3"/>
        <v>Put Spread</v>
      </c>
      <c r="O519" s="18" t="str">
        <f t="shared" si="4"/>
        <v>Success</v>
      </c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</row>
    <row r="520">
      <c r="A520" s="13" t="s">
        <v>543</v>
      </c>
      <c r="B520" s="14" t="s">
        <v>18</v>
      </c>
      <c r="C520" s="15">
        <v>18.29</v>
      </c>
      <c r="D520" s="13" t="s">
        <v>19</v>
      </c>
      <c r="E520" s="15">
        <v>17.15</v>
      </c>
      <c r="F520" s="15">
        <v>2.0</v>
      </c>
      <c r="G520" s="15">
        <v>2.0</v>
      </c>
      <c r="H520" s="15">
        <v>4.0</v>
      </c>
      <c r="I520" s="16">
        <v>0.0</v>
      </c>
      <c r="J520" s="17">
        <f>IFERROR(__xludf.DUMMYFUNCTION("INDEX(GOOGLEFINANCE(A520, ""open"", $J$1, $J$1), 2, 2)"),17.91)</f>
        <v>17.91</v>
      </c>
      <c r="K520" s="17">
        <f>IFERROR(__xludf.DUMMYFUNCTION("INDEX(GOOGLEFINANCE(A520, ""close"", $K$1, $K$1), 2, 2)"),17.79)</f>
        <v>17.79</v>
      </c>
      <c r="L520" s="8">
        <f t="shared" si="1"/>
        <v>-0.6700167504</v>
      </c>
      <c r="M520" s="18">
        <f t="shared" si="2"/>
        <v>-6.700167504</v>
      </c>
      <c r="N520" s="18" t="str">
        <f t="shared" si="3"/>
        <v>Put Spread</v>
      </c>
      <c r="O520" s="18" t="str">
        <f t="shared" si="4"/>
        <v>Success</v>
      </c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</row>
    <row r="521">
      <c r="A521" s="13" t="s">
        <v>544</v>
      </c>
      <c r="B521" s="14" t="s">
        <v>18</v>
      </c>
      <c r="C521" s="15">
        <v>268.0</v>
      </c>
      <c r="D521" s="13" t="s">
        <v>19</v>
      </c>
      <c r="E521" s="15">
        <v>254.1</v>
      </c>
      <c r="F521" s="15">
        <v>3.0</v>
      </c>
      <c r="G521" s="15">
        <v>1.0</v>
      </c>
      <c r="H521" s="15">
        <v>3.0</v>
      </c>
      <c r="I521" s="16">
        <v>0.0</v>
      </c>
      <c r="J521" s="17">
        <f>IFERROR(__xludf.DUMMYFUNCTION("INDEX(GOOGLEFINANCE(A521, ""open"", $J$1, $J$1), 2, 2)"),260.0)</f>
        <v>260</v>
      </c>
      <c r="K521" s="17">
        <f>IFERROR(__xludf.DUMMYFUNCTION("INDEX(GOOGLEFINANCE(A521, ""close"", $K$1, $K$1), 2, 2)"),258.32)</f>
        <v>258.32</v>
      </c>
      <c r="L521" s="8">
        <f t="shared" si="1"/>
        <v>-0.6461538462</v>
      </c>
      <c r="M521" s="18">
        <f t="shared" si="2"/>
        <v>-6.461538462</v>
      </c>
      <c r="N521" s="18" t="str">
        <f t="shared" si="3"/>
        <v>Put Spread</v>
      </c>
      <c r="O521" s="18" t="str">
        <f t="shared" si="4"/>
        <v>Success</v>
      </c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</row>
    <row r="522">
      <c r="A522" s="13" t="s">
        <v>545</v>
      </c>
      <c r="B522" s="14" t="s">
        <v>18</v>
      </c>
      <c r="C522" s="15">
        <v>29.15</v>
      </c>
      <c r="D522" s="13" t="s">
        <v>19</v>
      </c>
      <c r="E522" s="15">
        <v>26.85</v>
      </c>
      <c r="F522" s="15">
        <v>4.0</v>
      </c>
      <c r="G522" s="15">
        <v>2.0</v>
      </c>
      <c r="H522" s="15">
        <v>5.0</v>
      </c>
      <c r="I522" s="16">
        <v>4.3260318965967</v>
      </c>
      <c r="J522" s="17">
        <f>IFERROR(__xludf.DUMMYFUNCTION("INDEX(GOOGLEFINANCE(A522, ""open"", $J$1, $J$1), 2, 2)"),27.93)</f>
        <v>27.93</v>
      </c>
      <c r="K522" s="17">
        <f>IFERROR(__xludf.DUMMYFUNCTION("INDEX(GOOGLEFINANCE(A522, ""close"", $K$1, $K$1), 2, 2)"),27.75)</f>
        <v>27.75</v>
      </c>
      <c r="L522" s="8">
        <f t="shared" si="1"/>
        <v>-0.6444683136</v>
      </c>
      <c r="M522" s="18">
        <f t="shared" si="2"/>
        <v>-6.444683136</v>
      </c>
      <c r="N522" s="18" t="str">
        <f t="shared" si="3"/>
        <v>Put Spread</v>
      </c>
      <c r="O522" s="18" t="str">
        <f t="shared" si="4"/>
        <v>Success</v>
      </c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</row>
    <row r="523">
      <c r="A523" s="13" t="s">
        <v>546</v>
      </c>
      <c r="B523" s="14" t="s">
        <v>18</v>
      </c>
      <c r="C523" s="15">
        <v>19.1</v>
      </c>
      <c r="D523" s="13" t="s">
        <v>19</v>
      </c>
      <c r="E523" s="15">
        <v>18.4</v>
      </c>
      <c r="F523" s="15">
        <v>3.0</v>
      </c>
      <c r="G523" s="15">
        <v>2.0</v>
      </c>
      <c r="H523" s="15">
        <v>4.0</v>
      </c>
      <c r="I523" s="16">
        <v>3.10235912</v>
      </c>
      <c r="J523" s="17">
        <f>IFERROR(__xludf.DUMMYFUNCTION("INDEX(GOOGLEFINANCE(A523, ""open"", $J$1, $J$1), 2, 2)"),18.66)</f>
        <v>18.66</v>
      </c>
      <c r="K523" s="17">
        <f>IFERROR(__xludf.DUMMYFUNCTION("INDEX(GOOGLEFINANCE(A523, ""close"", $K$1, $K$1), 2, 2)"),18.54)</f>
        <v>18.54</v>
      </c>
      <c r="L523" s="20">
        <f t="shared" si="1"/>
        <v>-0.6430868167</v>
      </c>
      <c r="M523" s="18">
        <f t="shared" si="2"/>
        <v>-6.430868167</v>
      </c>
      <c r="N523" s="18" t="str">
        <f t="shared" si="3"/>
        <v>Put Spread</v>
      </c>
      <c r="O523" s="18" t="str">
        <f t="shared" si="4"/>
        <v>Success</v>
      </c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</row>
    <row r="524">
      <c r="A524" s="13" t="s">
        <v>547</v>
      </c>
      <c r="B524" s="14" t="s">
        <v>18</v>
      </c>
      <c r="C524" s="15">
        <v>256.23</v>
      </c>
      <c r="D524" s="13" t="s">
        <v>19</v>
      </c>
      <c r="E524" s="15">
        <v>234.01</v>
      </c>
      <c r="F524" s="15">
        <v>5.0</v>
      </c>
      <c r="G524" s="15">
        <v>0.0</v>
      </c>
      <c r="H524" s="15">
        <v>4.0</v>
      </c>
      <c r="I524" s="16">
        <v>-3.5180246</v>
      </c>
      <c r="J524" s="17">
        <f>IFERROR(__xludf.DUMMYFUNCTION("INDEX(GOOGLEFINANCE(A524, ""open"", $J$1, $J$1), 2, 2)"),246.0)</f>
        <v>246</v>
      </c>
      <c r="K524" s="17">
        <f>IFERROR(__xludf.DUMMYFUNCTION("INDEX(GOOGLEFINANCE(A524, ""close"", $K$1, $K$1), 2, 2)"),244.42)</f>
        <v>244.42</v>
      </c>
      <c r="L524" s="8">
        <f t="shared" si="1"/>
        <v>-0.6422764228</v>
      </c>
      <c r="M524" s="18">
        <f t="shared" si="2"/>
        <v>-6.422764228</v>
      </c>
      <c r="N524" s="18" t="str">
        <f t="shared" si="3"/>
        <v>Put Spread</v>
      </c>
      <c r="O524" s="18" t="str">
        <f t="shared" si="4"/>
        <v>Success</v>
      </c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</row>
    <row r="525">
      <c r="A525" s="13" t="s">
        <v>548</v>
      </c>
      <c r="B525" s="14" t="s">
        <v>18</v>
      </c>
      <c r="C525" s="15">
        <v>24.72</v>
      </c>
      <c r="D525" s="13" t="s">
        <v>19</v>
      </c>
      <c r="E525" s="15">
        <v>22.54</v>
      </c>
      <c r="F525" s="15">
        <v>4.0</v>
      </c>
      <c r="G525" s="15">
        <v>3.0</v>
      </c>
      <c r="H525" s="15">
        <v>0.0</v>
      </c>
      <c r="I525" s="16">
        <v>-0.6853842</v>
      </c>
      <c r="J525" s="17">
        <f>IFERROR(__xludf.DUMMYFUNCTION("INDEX(GOOGLEFINANCE(A525, ""open"", $J$1, $J$1), 2, 2)"),23.85)</f>
        <v>23.85</v>
      </c>
      <c r="K525" s="17">
        <f>IFERROR(__xludf.DUMMYFUNCTION("INDEX(GOOGLEFINANCE(A525, ""close"", $K$1, $K$1), 2, 2)"),23.7)</f>
        <v>23.7</v>
      </c>
      <c r="L525" s="8">
        <f t="shared" si="1"/>
        <v>-0.6289308176</v>
      </c>
      <c r="M525" s="18">
        <f t="shared" si="2"/>
        <v>-6.289308176</v>
      </c>
      <c r="N525" s="18" t="str">
        <f t="shared" si="3"/>
        <v>Put Spread</v>
      </c>
      <c r="O525" s="18" t="str">
        <f t="shared" si="4"/>
        <v>Success</v>
      </c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</row>
    <row r="526">
      <c r="A526" s="13" t="s">
        <v>549</v>
      </c>
      <c r="B526" s="14" t="s">
        <v>18</v>
      </c>
      <c r="C526" s="15">
        <v>93.2</v>
      </c>
      <c r="D526" s="13" t="s">
        <v>19</v>
      </c>
      <c r="E526" s="15">
        <v>79.08</v>
      </c>
      <c r="F526" s="15">
        <v>4.0</v>
      </c>
      <c r="G526" s="15">
        <v>3.0</v>
      </c>
      <c r="H526" s="15">
        <v>4.0</v>
      </c>
      <c r="I526" s="16">
        <v>-0.5217507</v>
      </c>
      <c r="J526" s="17">
        <f>IFERROR(__xludf.DUMMYFUNCTION("INDEX(GOOGLEFINANCE(A526, ""open"", $J$1, $J$1), 2, 2)"),86.6)</f>
        <v>86.6</v>
      </c>
      <c r="K526" s="17">
        <f>IFERROR(__xludf.DUMMYFUNCTION("INDEX(GOOGLEFINANCE(A526, ""close"", $K$1, $K$1), 2, 2)"),86.08)</f>
        <v>86.08</v>
      </c>
      <c r="L526" s="8">
        <f t="shared" si="1"/>
        <v>-0.6004618938</v>
      </c>
      <c r="M526" s="18">
        <f t="shared" si="2"/>
        <v>-6.004618938</v>
      </c>
      <c r="N526" s="18" t="str">
        <f t="shared" si="3"/>
        <v>Put Spread</v>
      </c>
      <c r="O526" s="18" t="str">
        <f t="shared" si="4"/>
        <v>Success</v>
      </c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</row>
    <row r="527">
      <c r="A527" s="13" t="s">
        <v>550</v>
      </c>
      <c r="B527" s="14" t="s">
        <v>18</v>
      </c>
      <c r="C527" s="15">
        <v>450.17</v>
      </c>
      <c r="D527" s="13" t="s">
        <v>19</v>
      </c>
      <c r="E527" s="15">
        <v>417.33</v>
      </c>
      <c r="F527" s="15">
        <v>4.0</v>
      </c>
      <c r="G527" s="15">
        <v>3.0</v>
      </c>
      <c r="H527" s="15">
        <v>5.0</v>
      </c>
      <c r="I527" s="16">
        <v>0.78685660858301</v>
      </c>
      <c r="J527" s="17">
        <f>IFERROR(__xludf.DUMMYFUNCTION("INDEX(GOOGLEFINANCE(A527, ""open"", $J$1, $J$1), 2, 2)"),431.25)</f>
        <v>431.25</v>
      </c>
      <c r="K527" s="17">
        <f>IFERROR(__xludf.DUMMYFUNCTION("INDEX(GOOGLEFINANCE(A527, ""close"", $K$1, $K$1), 2, 2)"),428.69)</f>
        <v>428.69</v>
      </c>
      <c r="L527" s="8">
        <f t="shared" si="1"/>
        <v>-0.5936231884</v>
      </c>
      <c r="M527" s="18">
        <f t="shared" si="2"/>
        <v>-5.936231884</v>
      </c>
      <c r="N527" s="18" t="str">
        <f t="shared" si="3"/>
        <v>Put Spread</v>
      </c>
      <c r="O527" s="18" t="str">
        <f t="shared" si="4"/>
        <v>Success</v>
      </c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</row>
    <row r="528">
      <c r="A528" s="13" t="s">
        <v>551</v>
      </c>
      <c r="B528" s="14" t="s">
        <v>18</v>
      </c>
      <c r="C528" s="15">
        <v>28.89</v>
      </c>
      <c r="D528" s="13" t="s">
        <v>19</v>
      </c>
      <c r="E528" s="15">
        <v>24.99</v>
      </c>
      <c r="F528" s="15">
        <v>3.0</v>
      </c>
      <c r="G528" s="15">
        <v>4.0</v>
      </c>
      <c r="H528" s="15">
        <v>2.0</v>
      </c>
      <c r="I528" s="16">
        <v>0.0</v>
      </c>
      <c r="J528" s="17">
        <f>IFERROR(__xludf.DUMMYFUNCTION("INDEX(GOOGLEFINANCE(A528, ""open"", $J$1, $J$1), 2, 2)"),26.8)</f>
        <v>26.8</v>
      </c>
      <c r="K528" s="17">
        <f>IFERROR(__xludf.DUMMYFUNCTION("INDEX(GOOGLEFINANCE(A528, ""close"", $K$1, $K$1), 2, 2)"),26.65)</f>
        <v>26.65</v>
      </c>
      <c r="L528" s="8">
        <f t="shared" si="1"/>
        <v>-0.5597014925</v>
      </c>
      <c r="M528" s="18">
        <f t="shared" si="2"/>
        <v>-5.597014925</v>
      </c>
      <c r="N528" s="18" t="str">
        <f t="shared" si="3"/>
        <v>Put Spread</v>
      </c>
      <c r="O528" s="18" t="str">
        <f t="shared" si="4"/>
        <v>Success</v>
      </c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</row>
    <row r="529">
      <c r="A529" s="13" t="s">
        <v>552</v>
      </c>
      <c r="B529" s="14" t="s">
        <v>18</v>
      </c>
      <c r="C529" s="15">
        <v>34.22</v>
      </c>
      <c r="D529" s="13" t="s">
        <v>19</v>
      </c>
      <c r="E529" s="15">
        <v>32.54</v>
      </c>
      <c r="F529" s="15">
        <v>5.0</v>
      </c>
      <c r="G529" s="15">
        <v>1.0</v>
      </c>
      <c r="H529" s="15">
        <v>4.0</v>
      </c>
      <c r="I529" s="16">
        <v>0.0</v>
      </c>
      <c r="J529" s="17">
        <f>IFERROR(__xludf.DUMMYFUNCTION("INDEX(GOOGLEFINANCE(A529, ""open"", $J$1, $J$1), 2, 2)"),33.29)</f>
        <v>33.29</v>
      </c>
      <c r="K529" s="17">
        <f>IFERROR(__xludf.DUMMYFUNCTION("INDEX(GOOGLEFINANCE(A529, ""close"", $K$1, $K$1), 2, 2)"),33.11)</f>
        <v>33.11</v>
      </c>
      <c r="L529" s="8">
        <f t="shared" si="1"/>
        <v>-0.5407029138</v>
      </c>
      <c r="M529" s="18">
        <f t="shared" si="2"/>
        <v>-5.407029138</v>
      </c>
      <c r="N529" s="18" t="str">
        <f t="shared" si="3"/>
        <v>Put Spread</v>
      </c>
      <c r="O529" s="18" t="str">
        <f t="shared" si="4"/>
        <v>Success</v>
      </c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</row>
    <row r="530">
      <c r="A530" s="13" t="s">
        <v>553</v>
      </c>
      <c r="B530" s="14" t="s">
        <v>18</v>
      </c>
      <c r="C530" s="15">
        <v>272.25</v>
      </c>
      <c r="D530" s="13" t="s">
        <v>19</v>
      </c>
      <c r="E530" s="15">
        <v>257.67</v>
      </c>
      <c r="F530" s="15">
        <v>5.0</v>
      </c>
      <c r="G530" s="15">
        <v>1.0</v>
      </c>
      <c r="H530" s="15">
        <v>5.0</v>
      </c>
      <c r="I530" s="16">
        <v>-2.4017901</v>
      </c>
      <c r="J530" s="17">
        <f>IFERROR(__xludf.DUMMYFUNCTION("INDEX(GOOGLEFINANCE(A530, ""open"", $J$1, $J$1), 2, 2)"),262.88)</f>
        <v>262.88</v>
      </c>
      <c r="K530" s="17">
        <f>IFERROR(__xludf.DUMMYFUNCTION("INDEX(GOOGLEFINANCE(A530, ""close"", $K$1, $K$1), 2, 2)"),261.5)</f>
        <v>261.5</v>
      </c>
      <c r="L530" s="20">
        <f t="shared" si="1"/>
        <v>-0.5249543518</v>
      </c>
      <c r="M530" s="18">
        <f t="shared" si="2"/>
        <v>-5.249543518</v>
      </c>
      <c r="N530" s="18" t="str">
        <f t="shared" si="3"/>
        <v>Put Spread</v>
      </c>
      <c r="O530" s="18" t="str">
        <f t="shared" si="4"/>
        <v>Success</v>
      </c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</row>
    <row r="531">
      <c r="A531" s="13" t="s">
        <v>554</v>
      </c>
      <c r="B531" s="14" t="s">
        <v>18</v>
      </c>
      <c r="C531" s="15">
        <v>211.42</v>
      </c>
      <c r="D531" s="13" t="s">
        <v>19</v>
      </c>
      <c r="E531" s="15">
        <v>197.54</v>
      </c>
      <c r="F531" s="15">
        <v>3.0</v>
      </c>
      <c r="G531" s="15">
        <v>1.0</v>
      </c>
      <c r="H531" s="15">
        <v>2.0</v>
      </c>
      <c r="I531" s="16">
        <v>0.0</v>
      </c>
      <c r="J531" s="17">
        <f>IFERROR(__xludf.DUMMYFUNCTION("INDEX(GOOGLEFINANCE(A531, ""open"", $J$1, $J$1), 2, 2)"),204.55)</f>
        <v>204.55</v>
      </c>
      <c r="K531" s="17">
        <f>IFERROR(__xludf.DUMMYFUNCTION("INDEX(GOOGLEFINANCE(A531, ""close"", $K$1, $K$1), 2, 2)"),201.67)</f>
        <v>201.67</v>
      </c>
      <c r="L531" s="20">
        <f t="shared" si="1"/>
        <v>-1.407968712</v>
      </c>
      <c r="M531" s="18">
        <f t="shared" si="2"/>
        <v>-14.07968712</v>
      </c>
      <c r="N531" s="18" t="str">
        <f t="shared" si="3"/>
        <v>Put Spread</v>
      </c>
      <c r="O531" s="18" t="str">
        <f t="shared" si="4"/>
        <v>Success</v>
      </c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</row>
    <row r="532">
      <c r="A532" s="13" t="s">
        <v>555</v>
      </c>
      <c r="B532" s="14" t="s">
        <v>18</v>
      </c>
      <c r="C532" s="15">
        <v>142.92</v>
      </c>
      <c r="D532" s="13" t="s">
        <v>19</v>
      </c>
      <c r="E532" s="15">
        <v>135.94</v>
      </c>
      <c r="F532" s="15">
        <v>2.0</v>
      </c>
      <c r="G532" s="15">
        <v>2.0</v>
      </c>
      <c r="H532" s="15">
        <v>5.0</v>
      </c>
      <c r="I532" s="16">
        <v>0.0</v>
      </c>
      <c r="J532" s="17">
        <f>IFERROR(__xludf.DUMMYFUNCTION("INDEX(GOOGLEFINANCE(A532, ""open"", $J$1, $J$1), 2, 2)"),139.17)</f>
        <v>139.17</v>
      </c>
      <c r="K532" s="17">
        <f>IFERROR(__xludf.DUMMYFUNCTION("INDEX(GOOGLEFINANCE(A532, ""close"", $K$1, $K$1), 2, 2)"),138.51)</f>
        <v>138.51</v>
      </c>
      <c r="L532" s="8">
        <f t="shared" si="1"/>
        <v>-0.474240138</v>
      </c>
      <c r="M532" s="18">
        <f t="shared" si="2"/>
        <v>-4.74240138</v>
      </c>
      <c r="N532" s="18" t="str">
        <f t="shared" si="3"/>
        <v>Put Spread</v>
      </c>
      <c r="O532" s="18" t="str">
        <f t="shared" si="4"/>
        <v>Success</v>
      </c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</row>
    <row r="533">
      <c r="A533" s="13" t="s">
        <v>556</v>
      </c>
      <c r="B533" s="26" t="s">
        <v>47</v>
      </c>
      <c r="C533" s="15">
        <v>2226.52</v>
      </c>
      <c r="D533" s="13" t="s">
        <v>48</v>
      </c>
      <c r="E533" s="15">
        <v>2498.6</v>
      </c>
      <c r="F533" s="15">
        <v>0.0</v>
      </c>
      <c r="G533" s="15">
        <v>3.0</v>
      </c>
      <c r="H533" s="15">
        <v>2.0</v>
      </c>
      <c r="I533" s="16">
        <v>0.0</v>
      </c>
      <c r="J533" s="17">
        <f>IFERROR(__xludf.DUMMYFUNCTION("INDEX(GOOGLEFINANCE(A533, ""open"", $J$1, $J$1), 2, 2)"),2365.0)</f>
        <v>2365</v>
      </c>
      <c r="K533" s="17">
        <f>IFERROR(__xludf.DUMMYFUNCTION("INDEX(GOOGLEFINANCE(A533, ""close"", $K$1, $K$1), 2, 2)"),2375.92)</f>
        <v>2375.92</v>
      </c>
      <c r="L533" s="20">
        <f t="shared" si="1"/>
        <v>-0.4617336152</v>
      </c>
      <c r="M533" s="18">
        <f t="shared" si="2"/>
        <v>-4.617336152</v>
      </c>
      <c r="N533" s="18" t="str">
        <f t="shared" si="3"/>
        <v>Call Spread</v>
      </c>
      <c r="O533" s="18" t="str">
        <f t="shared" si="4"/>
        <v>Success</v>
      </c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</row>
    <row r="534">
      <c r="A534" s="13" t="s">
        <v>557</v>
      </c>
      <c r="B534" s="14" t="s">
        <v>18</v>
      </c>
      <c r="C534" s="15">
        <v>112.71</v>
      </c>
      <c r="D534" s="13" t="s">
        <v>19</v>
      </c>
      <c r="E534" s="15">
        <v>110.21</v>
      </c>
      <c r="F534" s="15">
        <v>5.0</v>
      </c>
      <c r="G534" s="15">
        <v>1.0</v>
      </c>
      <c r="H534" s="15">
        <v>4.0</v>
      </c>
      <c r="I534" s="16">
        <v>1.09875737105295</v>
      </c>
      <c r="J534" s="17">
        <f>IFERROR(__xludf.DUMMYFUNCTION("INDEX(GOOGLEFINANCE(A534, ""open"", $J$1, $J$1), 2, 2)"),110.55)</f>
        <v>110.55</v>
      </c>
      <c r="K534" s="17">
        <f>IFERROR(__xludf.DUMMYFUNCTION("INDEX(GOOGLEFINANCE(A534, ""close"", $K$1, $K$1), 2, 2)"),110.05)</f>
        <v>110.05</v>
      </c>
      <c r="L534" s="8">
        <f t="shared" si="1"/>
        <v>-0.4522840344</v>
      </c>
      <c r="M534" s="18">
        <f t="shared" si="2"/>
        <v>-4.522840344</v>
      </c>
      <c r="N534" s="18" t="str">
        <f t="shared" si="3"/>
        <v>Put Spread</v>
      </c>
      <c r="O534" s="18" t="str">
        <f t="shared" si="4"/>
        <v>No</v>
      </c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</row>
    <row r="535">
      <c r="A535" s="13" t="s">
        <v>558</v>
      </c>
      <c r="B535" s="14" t="s">
        <v>18</v>
      </c>
      <c r="C535" s="15">
        <v>88.83</v>
      </c>
      <c r="D535" s="13" t="s">
        <v>19</v>
      </c>
      <c r="E535" s="15">
        <v>80.61</v>
      </c>
      <c r="F535" s="15">
        <v>5.0</v>
      </c>
      <c r="G535" s="15">
        <v>3.0</v>
      </c>
      <c r="H535" s="15">
        <v>4.0</v>
      </c>
      <c r="I535" s="16">
        <v>2.20625285587875</v>
      </c>
      <c r="J535" s="17">
        <f>IFERROR(__xludf.DUMMYFUNCTION("INDEX(GOOGLEFINANCE(A535, ""open"", $J$1, $J$1), 2, 2)"),84.75)</f>
        <v>84.75</v>
      </c>
      <c r="K535" s="17">
        <f>IFERROR(__xludf.DUMMYFUNCTION("INDEX(GOOGLEFINANCE(A535, ""close"", $K$1, $K$1), 2, 2)"),84.41)</f>
        <v>84.41</v>
      </c>
      <c r="L535" s="8">
        <f t="shared" si="1"/>
        <v>-0.401179941</v>
      </c>
      <c r="M535" s="18">
        <f t="shared" si="2"/>
        <v>-4.01179941</v>
      </c>
      <c r="N535" s="18" t="str">
        <f t="shared" si="3"/>
        <v>Put Spread</v>
      </c>
      <c r="O535" s="18" t="str">
        <f t="shared" si="4"/>
        <v>Success</v>
      </c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</row>
    <row r="536">
      <c r="A536" s="13" t="s">
        <v>559</v>
      </c>
      <c r="B536" s="14" t="s">
        <v>18</v>
      </c>
      <c r="C536" s="15">
        <v>215.66</v>
      </c>
      <c r="D536" s="13" t="s">
        <v>19</v>
      </c>
      <c r="E536" s="15">
        <v>181.18</v>
      </c>
      <c r="F536" s="15">
        <v>4.0</v>
      </c>
      <c r="G536" s="15">
        <v>4.0</v>
      </c>
      <c r="H536" s="15">
        <v>4.0</v>
      </c>
      <c r="I536" s="16">
        <v>0.0</v>
      </c>
      <c r="J536" s="17">
        <f>IFERROR(__xludf.DUMMYFUNCTION("INDEX(GOOGLEFINANCE(A536, ""open"", $J$1, $J$1), 2, 2)"),200.91)</f>
        <v>200.91</v>
      </c>
      <c r="K536" s="17">
        <f>IFERROR(__xludf.DUMMYFUNCTION("INDEX(GOOGLEFINANCE(A536, ""close"", $K$1, $K$1), 2, 2)"),200.11)</f>
        <v>200.11</v>
      </c>
      <c r="L536" s="8">
        <f t="shared" si="1"/>
        <v>-0.3981882435</v>
      </c>
      <c r="M536" s="18">
        <f t="shared" si="2"/>
        <v>-3.981882435</v>
      </c>
      <c r="N536" s="18" t="str">
        <f t="shared" si="3"/>
        <v>Put Spread</v>
      </c>
      <c r="O536" s="18" t="str">
        <f t="shared" si="4"/>
        <v>Success</v>
      </c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</row>
    <row r="537">
      <c r="A537" s="13" t="s">
        <v>560</v>
      </c>
      <c r="B537" s="14" t="s">
        <v>18</v>
      </c>
      <c r="C537" s="15">
        <v>161.12</v>
      </c>
      <c r="D537" s="13" t="s">
        <v>19</v>
      </c>
      <c r="E537" s="15">
        <v>152.56</v>
      </c>
      <c r="F537" s="15">
        <v>5.0</v>
      </c>
      <c r="G537" s="15">
        <v>2.0</v>
      </c>
      <c r="H537" s="15">
        <v>4.0</v>
      </c>
      <c r="I537" s="16">
        <v>0.0</v>
      </c>
      <c r="J537" s="17">
        <f>IFERROR(__xludf.DUMMYFUNCTION("INDEX(GOOGLEFINANCE(A537, ""open"", $J$1, $J$1), 2, 2)"),156.4)</f>
        <v>156.4</v>
      </c>
      <c r="K537" s="17">
        <f>IFERROR(__xludf.DUMMYFUNCTION("INDEX(GOOGLEFINANCE(A537, ""close"", $K$1, $K$1), 2, 2)"),155.81)</f>
        <v>155.81</v>
      </c>
      <c r="L537" s="8">
        <f t="shared" si="1"/>
        <v>-0.3772378517</v>
      </c>
      <c r="M537" s="18">
        <f t="shared" si="2"/>
        <v>-3.772378517</v>
      </c>
      <c r="N537" s="18" t="str">
        <f t="shared" si="3"/>
        <v>Put Spread</v>
      </c>
      <c r="O537" s="18" t="str">
        <f t="shared" si="4"/>
        <v>Success</v>
      </c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</row>
    <row r="538">
      <c r="A538" s="13" t="s">
        <v>561</v>
      </c>
      <c r="B538" s="14" t="s">
        <v>18</v>
      </c>
      <c r="C538" s="15">
        <v>31.6</v>
      </c>
      <c r="D538" s="13" t="s">
        <v>19</v>
      </c>
      <c r="E538" s="15">
        <v>30.76</v>
      </c>
      <c r="F538" s="15">
        <v>5.0</v>
      </c>
      <c r="G538" s="15">
        <v>2.0</v>
      </c>
      <c r="H538" s="15">
        <v>3.0</v>
      </c>
      <c r="I538" s="16">
        <v>0.0</v>
      </c>
      <c r="J538" s="17">
        <f>IFERROR(__xludf.DUMMYFUNCTION("INDEX(GOOGLEFINANCE(A538, ""open"", $J$1, $J$1), 2, 2)"),31.15)</f>
        <v>31.15</v>
      </c>
      <c r="K538" s="17">
        <f>IFERROR(__xludf.DUMMYFUNCTION("INDEX(GOOGLEFINANCE(A538, ""close"", $K$1, $K$1), 2, 2)"),31.04)</f>
        <v>31.04</v>
      </c>
      <c r="L538" s="8">
        <f t="shared" si="1"/>
        <v>-0.3531300161</v>
      </c>
      <c r="M538" s="18">
        <f t="shared" si="2"/>
        <v>-3.531300161</v>
      </c>
      <c r="N538" s="18" t="str">
        <f t="shared" si="3"/>
        <v>Put Spread</v>
      </c>
      <c r="O538" s="18" t="str">
        <f t="shared" si="4"/>
        <v>Success</v>
      </c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</row>
    <row r="539">
      <c r="A539" s="13" t="s">
        <v>562</v>
      </c>
      <c r="B539" s="14" t="s">
        <v>18</v>
      </c>
      <c r="C539" s="15">
        <v>43.97</v>
      </c>
      <c r="D539" s="13" t="s">
        <v>19</v>
      </c>
      <c r="E539" s="15">
        <v>42.19</v>
      </c>
      <c r="F539" s="15">
        <v>5.0</v>
      </c>
      <c r="G539" s="15">
        <v>1.0</v>
      </c>
      <c r="H539" s="15">
        <v>5.0</v>
      </c>
      <c r="I539" s="16">
        <v>3.1387197274693</v>
      </c>
      <c r="J539" s="17">
        <f>IFERROR(__xludf.DUMMYFUNCTION("INDEX(GOOGLEFINANCE(A539, ""open"", $J$1, $J$1), 2, 2)"),43.02)</f>
        <v>43.02</v>
      </c>
      <c r="K539" s="17">
        <f>IFERROR(__xludf.DUMMYFUNCTION("INDEX(GOOGLEFINANCE(A539, ""close"", $K$1, $K$1), 2, 2)"),42.88)</f>
        <v>42.88</v>
      </c>
      <c r="L539" s="8">
        <f t="shared" si="1"/>
        <v>-0.3254300325</v>
      </c>
      <c r="M539" s="18">
        <f t="shared" si="2"/>
        <v>-3.254300325</v>
      </c>
      <c r="N539" s="18" t="str">
        <f t="shared" si="3"/>
        <v>Put Spread</v>
      </c>
      <c r="O539" s="18" t="str">
        <f t="shared" si="4"/>
        <v>Success</v>
      </c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</row>
    <row r="540">
      <c r="A540" s="13" t="s">
        <v>563</v>
      </c>
      <c r="B540" s="26" t="s">
        <v>47</v>
      </c>
      <c r="C540" s="15">
        <v>63.64</v>
      </c>
      <c r="D540" s="13" t="s">
        <v>48</v>
      </c>
      <c r="E540" s="15">
        <v>72.94</v>
      </c>
      <c r="F540" s="15">
        <v>0.0</v>
      </c>
      <c r="G540" s="15">
        <v>1.0</v>
      </c>
      <c r="H540" s="15">
        <v>1.0</v>
      </c>
      <c r="I540" s="16">
        <v>0.0</v>
      </c>
      <c r="J540" s="17">
        <f>IFERROR(__xludf.DUMMYFUNCTION("INDEX(GOOGLEFINANCE(A540, ""open"", $J$1, $J$1), 2, 2)"),68.78)</f>
        <v>68.78</v>
      </c>
      <c r="K540" s="17">
        <f>IFERROR(__xludf.DUMMYFUNCTION("INDEX(GOOGLEFINANCE(A540, ""close"", $K$1, $K$1), 2, 2)"),69.0)</f>
        <v>69</v>
      </c>
      <c r="L540" s="8">
        <f t="shared" si="1"/>
        <v>-0.3198604245</v>
      </c>
      <c r="M540" s="18">
        <f t="shared" si="2"/>
        <v>-3.198604245</v>
      </c>
      <c r="N540" s="18" t="str">
        <f t="shared" si="3"/>
        <v>Call Spread</v>
      </c>
      <c r="O540" s="18" t="str">
        <f t="shared" si="4"/>
        <v>Success</v>
      </c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</row>
    <row r="541">
      <c r="A541" s="13" t="s">
        <v>564</v>
      </c>
      <c r="B541" s="14" t="s">
        <v>18</v>
      </c>
      <c r="C541" s="15">
        <v>171.45</v>
      </c>
      <c r="D541" s="13" t="s">
        <v>19</v>
      </c>
      <c r="E541" s="15">
        <v>165.15</v>
      </c>
      <c r="F541" s="15">
        <v>4.0</v>
      </c>
      <c r="G541" s="15">
        <v>1.0</v>
      </c>
      <c r="H541" s="15">
        <v>5.0</v>
      </c>
      <c r="I541" s="16">
        <v>1.19721440365243</v>
      </c>
      <c r="J541" s="17">
        <f>IFERROR(__xludf.DUMMYFUNCTION("INDEX(GOOGLEFINANCE(A541, ""open"", $J$1, $J$1), 2, 2)"),167.86)</f>
        <v>167.86</v>
      </c>
      <c r="K541" s="17">
        <f>IFERROR(__xludf.DUMMYFUNCTION("INDEX(GOOGLEFINANCE(A541, ""close"", $K$1, $K$1), 2, 2)"),167.33)</f>
        <v>167.33</v>
      </c>
      <c r="L541" s="8">
        <f t="shared" si="1"/>
        <v>-0.3157393066</v>
      </c>
      <c r="M541" s="18">
        <f t="shared" si="2"/>
        <v>-3.157393066</v>
      </c>
      <c r="N541" s="18" t="str">
        <f t="shared" si="3"/>
        <v>Put Spread</v>
      </c>
      <c r="O541" s="18" t="str">
        <f t="shared" si="4"/>
        <v>Success</v>
      </c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</row>
    <row r="542">
      <c r="A542" s="13" t="s">
        <v>565</v>
      </c>
      <c r="B542" s="14" t="s">
        <v>18</v>
      </c>
      <c r="C542" s="15">
        <v>59.54</v>
      </c>
      <c r="D542" s="13" t="s">
        <v>19</v>
      </c>
      <c r="E542" s="15">
        <v>56.64</v>
      </c>
      <c r="F542" s="15">
        <v>5.0</v>
      </c>
      <c r="G542" s="15">
        <v>1.0</v>
      </c>
      <c r="H542" s="15">
        <v>5.0</v>
      </c>
      <c r="I542" s="16">
        <v>-0.6185868</v>
      </c>
      <c r="J542" s="17">
        <f>IFERROR(__xludf.DUMMYFUNCTION("INDEX(GOOGLEFINANCE(A542, ""open"", $J$1, $J$1), 2, 2)"),57.91)</f>
        <v>57.91</v>
      </c>
      <c r="K542" s="17">
        <f>IFERROR(__xludf.DUMMYFUNCTION("INDEX(GOOGLEFINANCE(A542, ""close"", $K$1, $K$1), 2, 2)"),57.74)</f>
        <v>57.74</v>
      </c>
      <c r="L542" s="8">
        <f t="shared" si="1"/>
        <v>-0.2935589708</v>
      </c>
      <c r="M542" s="18">
        <f t="shared" si="2"/>
        <v>-2.935589708</v>
      </c>
      <c r="N542" s="18" t="str">
        <f t="shared" si="3"/>
        <v>Put Spread</v>
      </c>
      <c r="O542" s="18" t="str">
        <f t="shared" si="4"/>
        <v>Success</v>
      </c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</row>
    <row r="543">
      <c r="A543" s="13" t="s">
        <v>566</v>
      </c>
      <c r="B543" s="14" t="s">
        <v>18</v>
      </c>
      <c r="C543" s="15">
        <v>81.02</v>
      </c>
      <c r="D543" s="13" t="s">
        <v>19</v>
      </c>
      <c r="E543" s="15">
        <v>70.2</v>
      </c>
      <c r="F543" s="15">
        <v>5.0</v>
      </c>
      <c r="G543" s="15">
        <v>2.0</v>
      </c>
      <c r="H543" s="15">
        <v>5.0</v>
      </c>
      <c r="I543" s="16">
        <v>1.35117117113777</v>
      </c>
      <c r="J543" s="17">
        <f>IFERROR(__xludf.DUMMYFUNCTION("INDEX(GOOGLEFINANCE(A543, ""open"", $J$1, $J$1), 2, 2)"),76.43)</f>
        <v>76.43</v>
      </c>
      <c r="K543" s="17">
        <f>IFERROR(__xludf.DUMMYFUNCTION("INDEX(GOOGLEFINANCE(A543, ""close"", $K$1, $K$1), 2, 2)"),76.21)</f>
        <v>76.21</v>
      </c>
      <c r="L543" s="8">
        <f t="shared" si="1"/>
        <v>-0.287845087</v>
      </c>
      <c r="M543" s="18">
        <f t="shared" si="2"/>
        <v>-2.87845087</v>
      </c>
      <c r="N543" s="18" t="str">
        <f t="shared" si="3"/>
        <v>Put Spread</v>
      </c>
      <c r="O543" s="18" t="str">
        <f t="shared" si="4"/>
        <v>Success</v>
      </c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</row>
    <row r="544">
      <c r="A544" s="13" t="s">
        <v>567</v>
      </c>
      <c r="B544" s="14" t="s">
        <v>18</v>
      </c>
      <c r="C544" s="15">
        <v>228.92</v>
      </c>
      <c r="D544" s="13" t="s">
        <v>19</v>
      </c>
      <c r="E544" s="15">
        <v>218.2</v>
      </c>
      <c r="F544" s="15">
        <v>5.0</v>
      </c>
      <c r="G544" s="15">
        <v>1.0</v>
      </c>
      <c r="H544" s="15">
        <v>5.0</v>
      </c>
      <c r="I544" s="16">
        <v>0.0</v>
      </c>
      <c r="J544" s="17">
        <f>IFERROR(__xludf.DUMMYFUNCTION("INDEX(GOOGLEFINANCE(A544, ""open"", $J$1, $J$1), 2, 2)"),222.13)</f>
        <v>222.13</v>
      </c>
      <c r="K544" s="17">
        <f>IFERROR(__xludf.DUMMYFUNCTION("INDEX(GOOGLEFINANCE(A544, ""close"", $K$1, $K$1), 2, 2)"),221.5)</f>
        <v>221.5</v>
      </c>
      <c r="L544" s="8">
        <f t="shared" si="1"/>
        <v>-0.2836177013</v>
      </c>
      <c r="M544" s="18">
        <f t="shared" si="2"/>
        <v>-2.836177013</v>
      </c>
      <c r="N544" s="18" t="str">
        <f t="shared" si="3"/>
        <v>Put Spread</v>
      </c>
      <c r="O544" s="18" t="str">
        <f t="shared" si="4"/>
        <v>Success</v>
      </c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</row>
    <row r="545">
      <c r="A545" s="13" t="s">
        <v>568</v>
      </c>
      <c r="B545" s="14" t="s">
        <v>18</v>
      </c>
      <c r="C545" s="15">
        <v>91.83</v>
      </c>
      <c r="D545" s="13" t="s">
        <v>19</v>
      </c>
      <c r="E545" s="15">
        <v>91.59</v>
      </c>
      <c r="F545" s="15">
        <v>3.0</v>
      </c>
      <c r="G545" s="15">
        <v>2.0</v>
      </c>
      <c r="H545" s="15">
        <v>5.0</v>
      </c>
      <c r="I545" s="16">
        <v>0.0</v>
      </c>
      <c r="J545" s="17">
        <f>IFERROR(__xludf.DUMMYFUNCTION("INDEX(GOOGLEFINANCE(A545, ""open"", $J$1, $J$1), 2, 2)"),91.73)</f>
        <v>91.73</v>
      </c>
      <c r="K545" s="17">
        <f>IFERROR(__xludf.DUMMYFUNCTION("INDEX(GOOGLEFINANCE(A545, ""close"", $K$1, $K$1), 2, 2)"),91.47)</f>
        <v>91.47</v>
      </c>
      <c r="L545" s="8">
        <f t="shared" si="1"/>
        <v>-0.283440532</v>
      </c>
      <c r="M545" s="18">
        <f t="shared" si="2"/>
        <v>-2.83440532</v>
      </c>
      <c r="N545" s="18" t="str">
        <f t="shared" si="3"/>
        <v>Put Spread</v>
      </c>
      <c r="O545" s="18" t="str">
        <f t="shared" si="4"/>
        <v>No</v>
      </c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</row>
    <row r="546">
      <c r="A546" s="13" t="s">
        <v>569</v>
      </c>
      <c r="B546" s="14" t="s">
        <v>18</v>
      </c>
      <c r="C546" s="15">
        <v>130.13</v>
      </c>
      <c r="D546" s="13" t="s">
        <v>19</v>
      </c>
      <c r="E546" s="15">
        <v>122.75</v>
      </c>
      <c r="F546" s="15">
        <v>4.0</v>
      </c>
      <c r="G546" s="15">
        <v>3.0</v>
      </c>
      <c r="H546" s="15">
        <v>4.0</v>
      </c>
      <c r="I546" s="16">
        <v>0.0</v>
      </c>
      <c r="J546" s="17">
        <f>IFERROR(__xludf.DUMMYFUNCTION("INDEX(GOOGLEFINANCE(A546, ""open"", $J$1, $J$1), 2, 2)"),126.34)</f>
        <v>126.34</v>
      </c>
      <c r="K546" s="17">
        <f>IFERROR(__xludf.DUMMYFUNCTION("INDEX(GOOGLEFINANCE(A546, ""close"", $K$1, $K$1), 2, 2)"),126.0)</f>
        <v>126</v>
      </c>
      <c r="L546" s="8">
        <f t="shared" si="1"/>
        <v>-0.2691150863</v>
      </c>
      <c r="M546" s="18">
        <f t="shared" si="2"/>
        <v>-2.691150863</v>
      </c>
      <c r="N546" s="18" t="str">
        <f t="shared" si="3"/>
        <v>Put Spread</v>
      </c>
      <c r="O546" s="18" t="str">
        <f t="shared" si="4"/>
        <v>Success</v>
      </c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</row>
    <row r="547">
      <c r="A547" s="13" t="s">
        <v>570</v>
      </c>
      <c r="B547" s="14" t="s">
        <v>18</v>
      </c>
      <c r="C547" s="15">
        <v>112.62</v>
      </c>
      <c r="D547" s="13" t="s">
        <v>19</v>
      </c>
      <c r="E547" s="15">
        <v>108.14</v>
      </c>
      <c r="F547" s="15">
        <v>5.0</v>
      </c>
      <c r="G547" s="15">
        <v>2.0</v>
      </c>
      <c r="H547" s="15">
        <v>3.0</v>
      </c>
      <c r="I547" s="16">
        <v>0.0</v>
      </c>
      <c r="J547" s="17">
        <f>IFERROR(__xludf.DUMMYFUNCTION("INDEX(GOOGLEFINANCE(A547, ""open"", $J$1, $J$1), 2, 2)"),110.39)</f>
        <v>110.39</v>
      </c>
      <c r="K547" s="17">
        <f>IFERROR(__xludf.DUMMYFUNCTION("INDEX(GOOGLEFINANCE(A547, ""close"", $K$1, $K$1), 2, 2)"),110.12)</f>
        <v>110.12</v>
      </c>
      <c r="L547" s="20">
        <f t="shared" si="1"/>
        <v>-0.244587372</v>
      </c>
      <c r="M547" s="18">
        <f t="shared" si="2"/>
        <v>-2.44587372</v>
      </c>
      <c r="N547" s="18" t="str">
        <f t="shared" si="3"/>
        <v>Put Spread</v>
      </c>
      <c r="O547" s="18" t="str">
        <f t="shared" si="4"/>
        <v>Success</v>
      </c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</row>
    <row r="548">
      <c r="A548" s="13" t="s">
        <v>571</v>
      </c>
      <c r="B548" s="14" t="s">
        <v>18</v>
      </c>
      <c r="C548" s="15">
        <v>724.45</v>
      </c>
      <c r="D548" s="13" t="s">
        <v>19</v>
      </c>
      <c r="E548" s="15">
        <v>653.03</v>
      </c>
      <c r="F548" s="15">
        <v>3.0</v>
      </c>
      <c r="G548" s="15">
        <v>2.0</v>
      </c>
      <c r="H548" s="15">
        <v>5.0</v>
      </c>
      <c r="I548" s="16">
        <v>0.0</v>
      </c>
      <c r="J548" s="17">
        <f>IFERROR(__xludf.DUMMYFUNCTION("INDEX(GOOGLEFINANCE(A548, ""open"", $J$1, $J$1), 2, 2)"),697.0)</f>
        <v>697</v>
      </c>
      <c r="K548" s="17">
        <f>IFERROR(__xludf.DUMMYFUNCTION("INDEX(GOOGLEFINANCE(A548, ""close"", $K$1, $K$1), 2, 2)"),695.3)</f>
        <v>695.3</v>
      </c>
      <c r="L548" s="8">
        <f t="shared" si="1"/>
        <v>-0.243902439</v>
      </c>
      <c r="M548" s="18">
        <f t="shared" si="2"/>
        <v>-2.43902439</v>
      </c>
      <c r="N548" s="18" t="str">
        <f t="shared" si="3"/>
        <v>Put Spread</v>
      </c>
      <c r="O548" s="18" t="str">
        <f t="shared" si="4"/>
        <v>Success</v>
      </c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</row>
    <row r="549">
      <c r="A549" s="13" t="s">
        <v>572</v>
      </c>
      <c r="B549" s="14" t="s">
        <v>18</v>
      </c>
      <c r="C549" s="15">
        <v>97.62</v>
      </c>
      <c r="D549" s="13" t="s">
        <v>19</v>
      </c>
      <c r="E549" s="15">
        <v>93.08</v>
      </c>
      <c r="F549" s="15">
        <v>5.0</v>
      </c>
      <c r="G549" s="15">
        <v>1.0</v>
      </c>
      <c r="H549" s="15">
        <v>5.0</v>
      </c>
      <c r="I549" s="16">
        <v>0.0</v>
      </c>
      <c r="J549" s="17">
        <f>IFERROR(__xludf.DUMMYFUNCTION("INDEX(GOOGLEFINANCE(A549, ""open"", $J$1, $J$1), 2, 2)"),95.2)</f>
        <v>95.2</v>
      </c>
      <c r="K549" s="17">
        <f>IFERROR(__xludf.DUMMYFUNCTION("INDEX(GOOGLEFINANCE(A549, ""close"", $K$1, $K$1), 2, 2)"),94.99)</f>
        <v>94.99</v>
      </c>
      <c r="L549" s="8">
        <f t="shared" si="1"/>
        <v>-0.2205882353</v>
      </c>
      <c r="M549" s="18">
        <f t="shared" si="2"/>
        <v>-2.205882353</v>
      </c>
      <c r="N549" s="18" t="str">
        <f t="shared" si="3"/>
        <v>Put Spread</v>
      </c>
      <c r="O549" s="18" t="str">
        <f t="shared" si="4"/>
        <v>Success</v>
      </c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</row>
    <row r="550">
      <c r="A550" s="13" t="s">
        <v>573</v>
      </c>
      <c r="B550" s="14" t="s">
        <v>18</v>
      </c>
      <c r="C550" s="15">
        <v>160.55</v>
      </c>
      <c r="D550" s="13" t="s">
        <v>19</v>
      </c>
      <c r="E550" s="15">
        <v>153.21</v>
      </c>
      <c r="F550" s="15">
        <v>5.0</v>
      </c>
      <c r="G550" s="15">
        <v>0.0</v>
      </c>
      <c r="H550" s="15">
        <v>5.0</v>
      </c>
      <c r="I550" s="16">
        <v>0.0</v>
      </c>
      <c r="J550" s="17">
        <f>IFERROR(__xludf.DUMMYFUNCTION("INDEX(GOOGLEFINANCE(A550, ""open"", $J$1, $J$1), 2, 2)"),157.15)</f>
        <v>157.15</v>
      </c>
      <c r="K550" s="17">
        <f>IFERROR(__xludf.DUMMYFUNCTION("INDEX(GOOGLEFINANCE(A550, ""close"", $K$1, $K$1), 2, 2)"),156.81)</f>
        <v>156.81</v>
      </c>
      <c r="L550" s="8">
        <f t="shared" si="1"/>
        <v>-0.2163538021</v>
      </c>
      <c r="M550" s="18">
        <f t="shared" si="2"/>
        <v>-2.163538021</v>
      </c>
      <c r="N550" s="18" t="str">
        <f t="shared" si="3"/>
        <v>Put Spread</v>
      </c>
      <c r="O550" s="18" t="str">
        <f t="shared" si="4"/>
        <v>Success</v>
      </c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</row>
    <row r="551">
      <c r="A551" s="13" t="s">
        <v>574</v>
      </c>
      <c r="B551" s="14" t="s">
        <v>18</v>
      </c>
      <c r="C551" s="15">
        <v>40.76</v>
      </c>
      <c r="D551" s="13" t="s">
        <v>19</v>
      </c>
      <c r="E551" s="15">
        <v>35.06</v>
      </c>
      <c r="F551" s="15">
        <v>3.0</v>
      </c>
      <c r="G551" s="15">
        <v>3.0</v>
      </c>
      <c r="H551" s="15">
        <v>5.0</v>
      </c>
      <c r="I551" s="16">
        <v>-1.4778677</v>
      </c>
      <c r="J551" s="17">
        <f>IFERROR(__xludf.DUMMYFUNCTION("INDEX(GOOGLEFINANCE(A551, ""open"", $J$1, $J$1), 2, 2)"),37.84)</f>
        <v>37.84</v>
      </c>
      <c r="K551" s="17">
        <f>IFERROR(__xludf.DUMMYFUNCTION("INDEX(GOOGLEFINANCE(A551, ""close"", $K$1, $K$1), 2, 2)"),37.76)</f>
        <v>37.76</v>
      </c>
      <c r="L551" s="8">
        <f t="shared" si="1"/>
        <v>-0.2114164905</v>
      </c>
      <c r="M551" s="18">
        <f t="shared" si="2"/>
        <v>-2.114164905</v>
      </c>
      <c r="N551" s="18" t="str">
        <f t="shared" si="3"/>
        <v>Put Spread</v>
      </c>
      <c r="O551" s="18" t="str">
        <f t="shared" si="4"/>
        <v>Success</v>
      </c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</row>
    <row r="552">
      <c r="A552" s="13" t="s">
        <v>575</v>
      </c>
      <c r="B552" s="14" t="s">
        <v>18</v>
      </c>
      <c r="C552" s="15">
        <v>1.14</v>
      </c>
      <c r="D552" s="13" t="s">
        <v>19</v>
      </c>
      <c r="E552" s="15">
        <v>0.09</v>
      </c>
      <c r="F552" s="15">
        <v>2.0</v>
      </c>
      <c r="G552" s="15">
        <v>3.0</v>
      </c>
      <c r="H552" s="15">
        <v>0.0</v>
      </c>
      <c r="I552" s="16">
        <v>0.717630073701105</v>
      </c>
      <c r="J552" s="17">
        <f>IFERROR(__xludf.DUMMYFUNCTION("INDEX(GOOGLEFINANCE(A552, ""open"", $J$1, $J$1), 2, 2)"),9.5)</f>
        <v>9.5</v>
      </c>
      <c r="K552" s="17">
        <f>IFERROR(__xludf.DUMMYFUNCTION("INDEX(GOOGLEFINANCE(A552, ""close"", $K$1, $K$1), 2, 2)"),9.48)</f>
        <v>9.48</v>
      </c>
      <c r="L552" s="8">
        <f t="shared" si="1"/>
        <v>-0.2105263158</v>
      </c>
      <c r="M552" s="18">
        <f t="shared" si="2"/>
        <v>-2.105263158</v>
      </c>
      <c r="N552" s="18" t="str">
        <f t="shared" si="3"/>
        <v>Put Spread</v>
      </c>
      <c r="O552" s="18" t="str">
        <f t="shared" si="4"/>
        <v>Success</v>
      </c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</row>
    <row r="553">
      <c r="A553" s="13" t="s">
        <v>576</v>
      </c>
      <c r="B553" s="14" t="s">
        <v>18</v>
      </c>
      <c r="C553" s="15">
        <v>93.4</v>
      </c>
      <c r="D553" s="13" t="s">
        <v>19</v>
      </c>
      <c r="E553" s="15">
        <v>88.42</v>
      </c>
      <c r="F553" s="15">
        <v>3.0</v>
      </c>
      <c r="G553" s="15">
        <v>2.0</v>
      </c>
      <c r="H553" s="15">
        <v>2.0</v>
      </c>
      <c r="I553" s="16">
        <v>-1.2199116</v>
      </c>
      <c r="J553" s="17">
        <f>IFERROR(__xludf.DUMMYFUNCTION("INDEX(GOOGLEFINANCE(A553, ""open"", $J$1, $J$1), 2, 2)"),90.87)</f>
        <v>90.87</v>
      </c>
      <c r="K553" s="17">
        <f>IFERROR(__xludf.DUMMYFUNCTION("INDEX(GOOGLEFINANCE(A553, ""close"", $K$1, $K$1), 2, 2)"),90.68)</f>
        <v>90.68</v>
      </c>
      <c r="L553" s="8">
        <f t="shared" si="1"/>
        <v>-0.2090899087</v>
      </c>
      <c r="M553" s="18">
        <f t="shared" si="2"/>
        <v>-2.090899087</v>
      </c>
      <c r="N553" s="18" t="str">
        <f t="shared" si="3"/>
        <v>Put Spread</v>
      </c>
      <c r="O553" s="18" t="str">
        <f t="shared" si="4"/>
        <v>Success</v>
      </c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</row>
    <row r="554">
      <c r="A554" s="13" t="s">
        <v>577</v>
      </c>
      <c r="B554" s="14" t="s">
        <v>18</v>
      </c>
      <c r="C554" s="15">
        <v>133.16</v>
      </c>
      <c r="D554" s="13" t="s">
        <v>19</v>
      </c>
      <c r="E554" s="15">
        <v>120.54</v>
      </c>
      <c r="F554" s="15">
        <v>2.0</v>
      </c>
      <c r="G554" s="15">
        <v>1.0</v>
      </c>
      <c r="H554" s="15">
        <v>5.0</v>
      </c>
      <c r="I554" s="16">
        <v>0.0</v>
      </c>
      <c r="J554" s="17">
        <f>IFERROR(__xludf.DUMMYFUNCTION("INDEX(GOOGLEFINANCE(A554, ""open"", $J$1, $J$1), 2, 2)"),125.46)</f>
        <v>125.46</v>
      </c>
      <c r="K554" s="17">
        <f>IFERROR(__xludf.DUMMYFUNCTION("INDEX(GOOGLEFINANCE(A554, ""close"", $K$1, $K$1), 2, 2)"),124.36)</f>
        <v>124.36</v>
      </c>
      <c r="L554" s="8">
        <f t="shared" si="1"/>
        <v>-0.8767734736</v>
      </c>
      <c r="M554" s="18">
        <f t="shared" si="2"/>
        <v>-8.767734736</v>
      </c>
      <c r="N554" s="18" t="str">
        <f t="shared" si="3"/>
        <v>Put Spread</v>
      </c>
      <c r="O554" s="18" t="str">
        <f t="shared" si="4"/>
        <v>Success</v>
      </c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</row>
    <row r="555">
      <c r="A555" s="13" t="s">
        <v>578</v>
      </c>
      <c r="B555" s="14" t="s">
        <v>18</v>
      </c>
      <c r="C555" s="15">
        <v>82.65</v>
      </c>
      <c r="D555" s="13" t="s">
        <v>19</v>
      </c>
      <c r="E555" s="15">
        <v>77.95</v>
      </c>
      <c r="F555" s="15">
        <v>5.0</v>
      </c>
      <c r="G555" s="15">
        <v>3.0</v>
      </c>
      <c r="H555" s="15">
        <v>5.0</v>
      </c>
      <c r="I555" s="16">
        <v>-0.8253635</v>
      </c>
      <c r="J555" s="17">
        <f>IFERROR(__xludf.DUMMYFUNCTION("INDEX(GOOGLEFINANCE(A555, ""open"", $J$1, $J$1), 2, 2)"),80.03)</f>
        <v>80.03</v>
      </c>
      <c r="K555" s="17">
        <f>IFERROR(__xludf.DUMMYFUNCTION("INDEX(GOOGLEFINANCE(A555, ""close"", $K$1, $K$1), 2, 2)"),79.88)</f>
        <v>79.88</v>
      </c>
      <c r="L555" s="8">
        <f t="shared" si="1"/>
        <v>-0.1874297139</v>
      </c>
      <c r="M555" s="18">
        <f t="shared" si="2"/>
        <v>-1.874297139</v>
      </c>
      <c r="N555" s="18" t="str">
        <f t="shared" si="3"/>
        <v>Put Spread</v>
      </c>
      <c r="O555" s="18" t="str">
        <f t="shared" si="4"/>
        <v>Success</v>
      </c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</row>
    <row r="556">
      <c r="A556" s="13" t="s">
        <v>579</v>
      </c>
      <c r="B556" s="14" t="s">
        <v>18</v>
      </c>
      <c r="C556" s="15">
        <v>120.47</v>
      </c>
      <c r="D556" s="13" t="s">
        <v>19</v>
      </c>
      <c r="E556" s="15">
        <v>111.93</v>
      </c>
      <c r="F556" s="15">
        <v>5.0</v>
      </c>
      <c r="G556" s="15">
        <v>1.0</v>
      </c>
      <c r="H556" s="15">
        <v>5.0</v>
      </c>
      <c r="I556" s="16">
        <v>0.0</v>
      </c>
      <c r="J556" s="17">
        <f>IFERROR(__xludf.DUMMYFUNCTION("INDEX(GOOGLEFINANCE(A556, ""open"", $J$1, $J$1), 2, 2)"),113.39)</f>
        <v>113.39</v>
      </c>
      <c r="K556" s="17">
        <f>IFERROR(__xludf.DUMMYFUNCTION("INDEX(GOOGLEFINANCE(A556, ""close"", $K$1, $K$1), 2, 2)"),113.18)</f>
        <v>113.18</v>
      </c>
      <c r="L556" s="20">
        <f t="shared" si="1"/>
        <v>-0.1852015169</v>
      </c>
      <c r="M556" s="18">
        <f t="shared" si="2"/>
        <v>-1.852015169</v>
      </c>
      <c r="N556" s="18" t="str">
        <f t="shared" si="3"/>
        <v>Put Spread</v>
      </c>
      <c r="O556" s="18" t="str">
        <f t="shared" si="4"/>
        <v>Success</v>
      </c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</row>
    <row r="557">
      <c r="A557" s="13" t="s">
        <v>580</v>
      </c>
      <c r="B557" s="14" t="s">
        <v>18</v>
      </c>
      <c r="C557" s="15">
        <v>182.92</v>
      </c>
      <c r="D557" s="13" t="s">
        <v>19</v>
      </c>
      <c r="E557" s="15">
        <v>164.08</v>
      </c>
      <c r="F557" s="15">
        <v>3.0</v>
      </c>
      <c r="G557" s="15">
        <v>1.0</v>
      </c>
      <c r="H557" s="15">
        <v>4.0</v>
      </c>
      <c r="I557" s="16">
        <v>0.0</v>
      </c>
      <c r="J557" s="17">
        <f>IFERROR(__xludf.DUMMYFUNCTION("INDEX(GOOGLEFINANCE(A557, ""open"", $J$1, $J$1), 2, 2)"),174.02)</f>
        <v>174.02</v>
      </c>
      <c r="K557" s="17">
        <f>IFERROR(__xludf.DUMMYFUNCTION("INDEX(GOOGLEFINANCE(A557, ""close"", $K$1, $K$1), 2, 2)"),173.72)</f>
        <v>173.72</v>
      </c>
      <c r="L557" s="8">
        <f t="shared" si="1"/>
        <v>-0.1723939777</v>
      </c>
      <c r="M557" s="18">
        <f t="shared" si="2"/>
        <v>-1.723939777</v>
      </c>
      <c r="N557" s="18" t="str">
        <f t="shared" si="3"/>
        <v>Put Spread</v>
      </c>
      <c r="O557" s="18" t="str">
        <f t="shared" si="4"/>
        <v>Success</v>
      </c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</row>
    <row r="558">
      <c r="A558" s="13" t="s">
        <v>581</v>
      </c>
      <c r="B558" s="14" t="s">
        <v>18</v>
      </c>
      <c r="C558" s="15">
        <v>235.08</v>
      </c>
      <c r="D558" s="13" t="s">
        <v>19</v>
      </c>
      <c r="E558" s="15">
        <v>218.52</v>
      </c>
      <c r="F558" s="15">
        <v>5.0</v>
      </c>
      <c r="G558" s="15">
        <v>2.0</v>
      </c>
      <c r="H558" s="15">
        <v>4.0</v>
      </c>
      <c r="I558" s="16">
        <v>0.0</v>
      </c>
      <c r="J558" s="17">
        <f>IFERROR(__xludf.DUMMYFUNCTION("INDEX(GOOGLEFINANCE(A558, ""open"", $J$1, $J$1), 2, 2)"),226.75)</f>
        <v>226.75</v>
      </c>
      <c r="K558" s="17">
        <f>IFERROR(__xludf.DUMMYFUNCTION("INDEX(GOOGLEFINANCE(A558, ""close"", $K$1, $K$1), 2, 2)"),226.4)</f>
        <v>226.4</v>
      </c>
      <c r="L558" s="8">
        <f t="shared" si="1"/>
        <v>-0.1543550165</v>
      </c>
      <c r="M558" s="18">
        <f t="shared" si="2"/>
        <v>-1.543550165</v>
      </c>
      <c r="N558" s="18" t="str">
        <f t="shared" si="3"/>
        <v>Put Spread</v>
      </c>
      <c r="O558" s="18" t="str">
        <f t="shared" si="4"/>
        <v>Success</v>
      </c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</row>
    <row r="559">
      <c r="A559" s="13" t="s">
        <v>582</v>
      </c>
      <c r="B559" s="26" t="s">
        <v>47</v>
      </c>
      <c r="C559" s="15">
        <v>11.74</v>
      </c>
      <c r="D559" s="13" t="s">
        <v>48</v>
      </c>
      <c r="E559" s="15">
        <v>14.36</v>
      </c>
      <c r="F559" s="15">
        <v>1.0</v>
      </c>
      <c r="G559" s="15">
        <v>3.0</v>
      </c>
      <c r="H559" s="15">
        <v>5.0</v>
      </c>
      <c r="I559" s="16">
        <v>0.0</v>
      </c>
      <c r="J559" s="17">
        <f>IFERROR(__xludf.DUMMYFUNCTION("INDEX(GOOGLEFINANCE(A559, ""open"", $J$1, $J$1), 2, 2)"),12.99)</f>
        <v>12.99</v>
      </c>
      <c r="K559" s="17">
        <f>IFERROR(__xludf.DUMMYFUNCTION("INDEX(GOOGLEFINANCE(A559, ""close"", $K$1, $K$1), 2, 2)"),13.01)</f>
        <v>13.01</v>
      </c>
      <c r="L559" s="8">
        <f t="shared" si="1"/>
        <v>-0.1539645881</v>
      </c>
      <c r="M559" s="18">
        <f t="shared" si="2"/>
        <v>-1.539645881</v>
      </c>
      <c r="N559" s="18" t="str">
        <f t="shared" si="3"/>
        <v>Call Spread</v>
      </c>
      <c r="O559" s="18" t="str">
        <f t="shared" si="4"/>
        <v>Success</v>
      </c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</row>
    <row r="560">
      <c r="A560" s="13" t="s">
        <v>583</v>
      </c>
      <c r="B560" s="26" t="s">
        <v>47</v>
      </c>
      <c r="C560" s="15">
        <v>79.05</v>
      </c>
      <c r="D560" s="13" t="s">
        <v>48</v>
      </c>
      <c r="E560" s="15">
        <v>80.61</v>
      </c>
      <c r="F560" s="15">
        <v>0.0</v>
      </c>
      <c r="G560" s="15">
        <v>3.0</v>
      </c>
      <c r="H560" s="15">
        <v>1.0</v>
      </c>
      <c r="I560" s="16">
        <v>0.689623030310785</v>
      </c>
      <c r="J560" s="17">
        <f>IFERROR(__xludf.DUMMYFUNCTION("INDEX(GOOGLEFINANCE(A560, ""open"", $J$1, $J$1), 2, 2)"),79.8)</f>
        <v>79.8</v>
      </c>
      <c r="K560" s="17">
        <f>IFERROR(__xludf.DUMMYFUNCTION("INDEX(GOOGLEFINANCE(A560, ""close"", $K$1, $K$1), 2, 2)"),79.92)</f>
        <v>79.92</v>
      </c>
      <c r="L560" s="8">
        <f t="shared" si="1"/>
        <v>-0.1503759398</v>
      </c>
      <c r="M560" s="18">
        <f t="shared" si="2"/>
        <v>-1.503759398</v>
      </c>
      <c r="N560" s="18" t="str">
        <f t="shared" si="3"/>
        <v>Call Spread</v>
      </c>
      <c r="O560" s="18" t="str">
        <f t="shared" si="4"/>
        <v>Success</v>
      </c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</row>
    <row r="561">
      <c r="A561" s="13" t="s">
        <v>584</v>
      </c>
      <c r="B561" s="14" t="s">
        <v>18</v>
      </c>
      <c r="C561" s="15">
        <v>112.53</v>
      </c>
      <c r="D561" s="13" t="s">
        <v>19</v>
      </c>
      <c r="E561" s="15">
        <v>105.51</v>
      </c>
      <c r="F561" s="15">
        <v>4.0</v>
      </c>
      <c r="G561" s="15">
        <v>1.0</v>
      </c>
      <c r="H561" s="15">
        <v>3.0</v>
      </c>
      <c r="I561" s="16">
        <v>0.0</v>
      </c>
      <c r="J561" s="17">
        <f>IFERROR(__xludf.DUMMYFUNCTION("INDEX(GOOGLEFINANCE(A561, ""open"", $J$1, $J$1), 2, 2)"),108.41)</f>
        <v>108.41</v>
      </c>
      <c r="K561" s="17">
        <f>IFERROR(__xludf.DUMMYFUNCTION("INDEX(GOOGLEFINANCE(A561, ""close"", $K$1, $K$1), 2, 2)"),108.25)</f>
        <v>108.25</v>
      </c>
      <c r="L561" s="20">
        <f t="shared" si="1"/>
        <v>-0.1475878609</v>
      </c>
      <c r="M561" s="18">
        <f t="shared" si="2"/>
        <v>-1.475878609</v>
      </c>
      <c r="N561" s="18" t="str">
        <f t="shared" si="3"/>
        <v>Put Spread</v>
      </c>
      <c r="O561" s="18" t="str">
        <f t="shared" si="4"/>
        <v>Success</v>
      </c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</row>
    <row r="562">
      <c r="A562" s="13" t="s">
        <v>585</v>
      </c>
      <c r="B562" s="26" t="s">
        <v>47</v>
      </c>
      <c r="C562" s="15">
        <v>235.63</v>
      </c>
      <c r="D562" s="13" t="s">
        <v>48</v>
      </c>
      <c r="E562" s="15">
        <v>246.95</v>
      </c>
      <c r="F562" s="15">
        <v>1.0</v>
      </c>
      <c r="G562" s="15">
        <v>1.0</v>
      </c>
      <c r="H562" s="15">
        <v>4.0</v>
      </c>
      <c r="I562" s="16">
        <v>-1.006385</v>
      </c>
      <c r="J562" s="17">
        <f>IFERROR(__xludf.DUMMYFUNCTION("INDEX(GOOGLEFINANCE(A562, ""open"", $J$1, $J$1), 2, 2)"),28.27)</f>
        <v>28.27</v>
      </c>
      <c r="K562" s="17">
        <f>IFERROR(__xludf.DUMMYFUNCTION("INDEX(GOOGLEFINANCE(A562, ""close"", $K$1, $K$1), 2, 2)"),28.3)</f>
        <v>28.3</v>
      </c>
      <c r="L562" s="8">
        <f t="shared" si="1"/>
        <v>-0.1061195614</v>
      </c>
      <c r="M562" s="18">
        <f t="shared" si="2"/>
        <v>-1.061195614</v>
      </c>
      <c r="N562" s="18" t="str">
        <f t="shared" si="3"/>
        <v>Call Spread</v>
      </c>
      <c r="O562" s="18" t="str">
        <f t="shared" si="4"/>
        <v>Success</v>
      </c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</row>
    <row r="563">
      <c r="A563" s="13" t="s">
        <v>586</v>
      </c>
      <c r="B563" s="26" t="s">
        <v>47</v>
      </c>
      <c r="C563" s="15">
        <v>11.45</v>
      </c>
      <c r="D563" s="13" t="s">
        <v>48</v>
      </c>
      <c r="E563" s="15">
        <v>13.75</v>
      </c>
      <c r="F563" s="15">
        <v>2.0</v>
      </c>
      <c r="G563" s="15">
        <v>3.0</v>
      </c>
      <c r="H563" s="15">
        <v>3.0</v>
      </c>
      <c r="I563" s="16">
        <v>0.0</v>
      </c>
      <c r="J563" s="17">
        <f>IFERROR(__xludf.DUMMYFUNCTION("INDEX(GOOGLEFINANCE(A563, ""open"", $J$1, $J$1), 2, 2)"),12.68)</f>
        <v>12.68</v>
      </c>
      <c r="K563" s="17">
        <f>IFERROR(__xludf.DUMMYFUNCTION("INDEX(GOOGLEFINANCE(A563, ""close"", $K$1, $K$1), 2, 2)"),12.69)</f>
        <v>12.69</v>
      </c>
      <c r="L563" s="8">
        <f t="shared" si="1"/>
        <v>-0.07886435331</v>
      </c>
      <c r="M563" s="18">
        <f t="shared" si="2"/>
        <v>-0.7886435331</v>
      </c>
      <c r="N563" s="18" t="str">
        <f t="shared" si="3"/>
        <v>Call Spread</v>
      </c>
      <c r="O563" s="18" t="str">
        <f t="shared" si="4"/>
        <v>Success</v>
      </c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</row>
    <row r="564">
      <c r="A564" s="13" t="s">
        <v>587</v>
      </c>
      <c r="B564" s="26" t="s">
        <v>47</v>
      </c>
      <c r="C564" s="15">
        <v>91.16</v>
      </c>
      <c r="D564" s="13" t="s">
        <v>48</v>
      </c>
      <c r="E564" s="15">
        <v>94.28</v>
      </c>
      <c r="F564" s="15">
        <v>2.0</v>
      </c>
      <c r="G564" s="15">
        <v>2.0</v>
      </c>
      <c r="H564" s="15">
        <v>5.0</v>
      </c>
      <c r="I564" s="16">
        <v>0.48519755482732</v>
      </c>
      <c r="J564" s="17">
        <f>IFERROR(__xludf.DUMMYFUNCTION("INDEX(GOOGLEFINANCE(A564, ""open"", $J$1, $J$1), 2, 2)"),92.68)</f>
        <v>92.68</v>
      </c>
      <c r="K564" s="17">
        <f>IFERROR(__xludf.DUMMYFUNCTION("INDEX(GOOGLEFINANCE(A564, ""close"", $K$1, $K$1), 2, 2)"),92.72)</f>
        <v>92.72</v>
      </c>
      <c r="L564" s="20">
        <f t="shared" si="1"/>
        <v>-0.04315925766</v>
      </c>
      <c r="M564" s="18">
        <f t="shared" si="2"/>
        <v>-0.4315925766</v>
      </c>
      <c r="N564" s="18" t="str">
        <f t="shared" si="3"/>
        <v>Call Spread</v>
      </c>
      <c r="O564" s="18" t="str">
        <f t="shared" si="4"/>
        <v>Success</v>
      </c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</row>
    <row r="565">
      <c r="A565" s="13" t="s">
        <v>588</v>
      </c>
      <c r="B565" s="14" t="s">
        <v>18</v>
      </c>
      <c r="C565" s="15">
        <v>73.33</v>
      </c>
      <c r="D565" s="13" t="s">
        <v>19</v>
      </c>
      <c r="E565" s="15">
        <v>69.59</v>
      </c>
      <c r="F565" s="15">
        <v>5.0</v>
      </c>
      <c r="G565" s="15">
        <v>0.0</v>
      </c>
      <c r="H565" s="15">
        <v>4.0</v>
      </c>
      <c r="I565" s="16">
        <v>0.0</v>
      </c>
      <c r="J565" s="17">
        <f>IFERROR(__xludf.DUMMYFUNCTION("INDEX(GOOGLEFINANCE(A565, ""open"", $J$1, $J$1), 2, 2)"),71.39)</f>
        <v>71.39</v>
      </c>
      <c r="K565" s="17">
        <f>IFERROR(__xludf.DUMMYFUNCTION("INDEX(GOOGLEFINANCE(A565, ""close"", $K$1, $K$1), 2, 2)"),71.36)</f>
        <v>71.36</v>
      </c>
      <c r="L565" s="20">
        <f t="shared" si="1"/>
        <v>-0.04202269225</v>
      </c>
      <c r="M565" s="18">
        <f t="shared" si="2"/>
        <v>-0.4202269225</v>
      </c>
      <c r="N565" s="18" t="str">
        <f t="shared" si="3"/>
        <v>Put Spread</v>
      </c>
      <c r="O565" s="18" t="str">
        <f t="shared" si="4"/>
        <v>Success</v>
      </c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</row>
    <row r="566">
      <c r="A566" s="13" t="s">
        <v>589</v>
      </c>
      <c r="B566" s="14" t="s">
        <v>18</v>
      </c>
      <c r="C566" s="15">
        <v>388.05</v>
      </c>
      <c r="D566" s="13" t="s">
        <v>19</v>
      </c>
      <c r="E566" s="15">
        <v>362.63</v>
      </c>
      <c r="F566" s="15">
        <v>5.0</v>
      </c>
      <c r="G566" s="15">
        <v>2.0</v>
      </c>
      <c r="H566" s="15">
        <v>4.0</v>
      </c>
      <c r="I566" s="16">
        <v>0.0</v>
      </c>
      <c r="J566" s="17">
        <f>IFERROR(__xludf.DUMMYFUNCTION("INDEX(GOOGLEFINANCE(A566, ""open"", $J$1, $J$1), 2, 2)"),373.74)</f>
        <v>373.74</v>
      </c>
      <c r="K566" s="17">
        <f>IFERROR(__xludf.DUMMYFUNCTION("INDEX(GOOGLEFINANCE(A566, ""close"", $K$1, $K$1), 2, 2)"),373.66)</f>
        <v>373.66</v>
      </c>
      <c r="L566" s="20">
        <f t="shared" si="1"/>
        <v>-0.02140525499</v>
      </c>
      <c r="M566" s="18">
        <f t="shared" si="2"/>
        <v>-0.2140525499</v>
      </c>
      <c r="N566" s="18" t="str">
        <f t="shared" si="3"/>
        <v>Put Spread</v>
      </c>
      <c r="O566" s="18" t="str">
        <f t="shared" si="4"/>
        <v>Success</v>
      </c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</row>
    <row r="567">
      <c r="A567" s="13" t="s">
        <v>590</v>
      </c>
      <c r="B567" s="14" t="s">
        <v>18</v>
      </c>
      <c r="C567" s="15">
        <v>126.88</v>
      </c>
      <c r="D567" s="13" t="s">
        <v>19</v>
      </c>
      <c r="E567" s="15">
        <v>119.82</v>
      </c>
      <c r="F567" s="15">
        <v>3.0</v>
      </c>
      <c r="G567" s="15">
        <v>2.0</v>
      </c>
      <c r="H567" s="15">
        <v>4.0</v>
      </c>
      <c r="I567" s="16">
        <v>0.0</v>
      </c>
      <c r="J567" s="17">
        <f>IFERROR(__xludf.DUMMYFUNCTION("INDEX(GOOGLEFINANCE(A567, ""open"", $J$1, $J$1), 2, 2)"),123.0)</f>
        <v>123</v>
      </c>
      <c r="K567" s="17">
        <f>IFERROR(__xludf.DUMMYFUNCTION("INDEX(GOOGLEFINANCE(A567, ""close"", $K$1, $K$1), 2, 2)"),123.0)</f>
        <v>123</v>
      </c>
      <c r="L567" s="8">
        <f t="shared" si="1"/>
        <v>0</v>
      </c>
      <c r="M567" s="18">
        <f t="shared" si="2"/>
        <v>0</v>
      </c>
      <c r="N567" s="18" t="str">
        <f t="shared" si="3"/>
        <v>Put Spread</v>
      </c>
      <c r="O567" s="18" t="str">
        <f t="shared" si="4"/>
        <v>Success</v>
      </c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</row>
    <row r="568">
      <c r="A568" s="13" t="s">
        <v>591</v>
      </c>
      <c r="B568" s="14" t="s">
        <v>18</v>
      </c>
      <c r="C568" s="15">
        <v>2.91</v>
      </c>
      <c r="D568" s="13" t="s">
        <v>19</v>
      </c>
      <c r="E568" s="15">
        <v>2.55</v>
      </c>
      <c r="F568" s="15">
        <v>3.0</v>
      </c>
      <c r="G568" s="15">
        <v>2.0</v>
      </c>
      <c r="H568" s="15">
        <v>4.0</v>
      </c>
      <c r="I568" s="16">
        <v>-1.6706142</v>
      </c>
      <c r="J568" s="17">
        <f>IFERROR(__xludf.DUMMYFUNCTION("INDEX(GOOGLEFINANCE(A568, ""open"", $J$1, $J$1), 2, 2)"),2.75)</f>
        <v>2.75</v>
      </c>
      <c r="K568" s="17">
        <f>IFERROR(__xludf.DUMMYFUNCTION("INDEX(GOOGLEFINANCE(A568, ""close"", $K$1, $K$1), 2, 2)"),2.75)</f>
        <v>2.75</v>
      </c>
      <c r="L568" s="8">
        <f t="shared" si="1"/>
        <v>0</v>
      </c>
      <c r="M568" s="18">
        <f t="shared" si="2"/>
        <v>0</v>
      </c>
      <c r="N568" s="18" t="str">
        <f t="shared" si="3"/>
        <v>Put Spread</v>
      </c>
      <c r="O568" s="18" t="str">
        <f t="shared" si="4"/>
        <v>Success</v>
      </c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</row>
    <row r="569">
      <c r="A569" s="13" t="s">
        <v>592</v>
      </c>
      <c r="B569" s="14" t="s">
        <v>18</v>
      </c>
      <c r="C569" s="15">
        <v>337.18</v>
      </c>
      <c r="D569" s="13" t="s">
        <v>19</v>
      </c>
      <c r="E569" s="15">
        <v>310.3</v>
      </c>
      <c r="F569" s="15">
        <v>4.0</v>
      </c>
      <c r="G569" s="15">
        <v>2.0</v>
      </c>
      <c r="H569" s="15">
        <v>4.0</v>
      </c>
      <c r="I569" s="16">
        <v>0.0</v>
      </c>
      <c r="J569" s="17">
        <f>IFERROR(__xludf.DUMMYFUNCTION("INDEX(GOOGLEFINANCE(A569, ""open"", $J$1, $J$1), 2, 2)"),325.02)</f>
        <v>325.02</v>
      </c>
      <c r="K569" s="17">
        <f>IFERROR(__xludf.DUMMYFUNCTION("INDEX(GOOGLEFINANCE(A569, ""close"", $K$1, $K$1), 2, 2)"),326.8)</f>
        <v>326.8</v>
      </c>
      <c r="L569" s="8">
        <f t="shared" si="1"/>
        <v>0.5476586056</v>
      </c>
      <c r="M569" s="18">
        <f t="shared" si="2"/>
        <v>5.476586056</v>
      </c>
      <c r="N569" s="18" t="str">
        <f t="shared" si="3"/>
        <v>Put Spread</v>
      </c>
      <c r="O569" s="18" t="str">
        <f t="shared" si="4"/>
        <v>Success</v>
      </c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</row>
    <row r="570">
      <c r="A570" s="13" t="s">
        <v>593</v>
      </c>
      <c r="B570" s="14" t="s">
        <v>18</v>
      </c>
      <c r="C570" s="15">
        <v>254.16</v>
      </c>
      <c r="D570" s="13" t="s">
        <v>19</v>
      </c>
      <c r="E570" s="15">
        <v>238.86</v>
      </c>
      <c r="F570" s="15">
        <v>5.0</v>
      </c>
      <c r="G570" s="15">
        <v>2.0</v>
      </c>
      <c r="H570" s="15">
        <v>5.0</v>
      </c>
      <c r="I570" s="16">
        <v>-1.2472723</v>
      </c>
      <c r="J570" s="17">
        <f>IFERROR(__xludf.DUMMYFUNCTION("INDEX(GOOGLEFINANCE(A570, ""open"", $J$1, $J$1), 2, 2)"),247.73)</f>
        <v>247.73</v>
      </c>
      <c r="K570" s="17">
        <f>IFERROR(__xludf.DUMMYFUNCTION("INDEX(GOOGLEFINANCE(A570, ""close"", $K$1, $K$1), 2, 2)"),247.59)</f>
        <v>247.59</v>
      </c>
      <c r="L570" s="8">
        <f t="shared" si="1"/>
        <v>-0.0565131393</v>
      </c>
      <c r="M570" s="18">
        <f t="shared" si="2"/>
        <v>-0.565131393</v>
      </c>
      <c r="N570" s="18" t="str">
        <f t="shared" si="3"/>
        <v>Put Spread</v>
      </c>
      <c r="O570" s="18" t="str">
        <f t="shared" si="4"/>
        <v>Success</v>
      </c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</row>
    <row r="571">
      <c r="A571" s="13" t="s">
        <v>594</v>
      </c>
      <c r="B571" s="26" t="s">
        <v>47</v>
      </c>
      <c r="C571" s="15">
        <v>21.26</v>
      </c>
      <c r="D571" s="13" t="s">
        <v>48</v>
      </c>
      <c r="E571" s="15">
        <v>25.02</v>
      </c>
      <c r="F571" s="15">
        <v>2.0</v>
      </c>
      <c r="G571" s="15">
        <v>3.0</v>
      </c>
      <c r="H571" s="15">
        <v>4.0</v>
      </c>
      <c r="I571" s="16">
        <v>1.29000851054996</v>
      </c>
      <c r="J571" s="17">
        <f>IFERROR(__xludf.DUMMYFUNCTION("INDEX(GOOGLEFINANCE(A571, ""open"", $J$1, $J$1), 2, 2)"),23.09)</f>
        <v>23.09</v>
      </c>
      <c r="K571" s="17">
        <f>IFERROR(__xludf.DUMMYFUNCTION("INDEX(GOOGLEFINANCE(A571, ""close"", $K$1, $K$1), 2, 2)"),23.08)</f>
        <v>23.08</v>
      </c>
      <c r="L571" s="20">
        <f t="shared" si="1"/>
        <v>0.04330879168</v>
      </c>
      <c r="M571" s="18">
        <f t="shared" si="2"/>
        <v>0.4330879168</v>
      </c>
      <c r="N571" s="18" t="str">
        <f t="shared" si="3"/>
        <v>Call Spread</v>
      </c>
      <c r="O571" s="18" t="str">
        <f t="shared" si="4"/>
        <v>Success</v>
      </c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</row>
    <row r="572">
      <c r="A572" s="13" t="s">
        <v>595</v>
      </c>
      <c r="B572" s="14" t="s">
        <v>18</v>
      </c>
      <c r="C572" s="15">
        <v>23.0</v>
      </c>
      <c r="D572" s="13" t="s">
        <v>19</v>
      </c>
      <c r="E572" s="15">
        <v>19.4</v>
      </c>
      <c r="F572" s="15">
        <v>3.0</v>
      </c>
      <c r="G572" s="15">
        <v>3.0</v>
      </c>
      <c r="H572" s="15">
        <v>4.0</v>
      </c>
      <c r="I572" s="16">
        <v>0.0</v>
      </c>
      <c r="J572" s="17">
        <f>IFERROR(__xludf.DUMMYFUNCTION("INDEX(GOOGLEFINANCE(A572, ""open"", $J$1, $J$1), 2, 2)"),21.22)</f>
        <v>21.22</v>
      </c>
      <c r="K572" s="17">
        <f>IFERROR(__xludf.DUMMYFUNCTION("INDEX(GOOGLEFINANCE(A572, ""close"", $K$1, $K$1), 2, 2)"),21.23)</f>
        <v>21.23</v>
      </c>
      <c r="L572" s="8">
        <f t="shared" si="1"/>
        <v>0.04712535344</v>
      </c>
      <c r="M572" s="18">
        <f t="shared" si="2"/>
        <v>0.4712535344</v>
      </c>
      <c r="N572" s="18" t="str">
        <f t="shared" si="3"/>
        <v>Put Spread</v>
      </c>
      <c r="O572" s="18" t="str">
        <f t="shared" si="4"/>
        <v>Success</v>
      </c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</row>
    <row r="573">
      <c r="A573" s="13" t="s">
        <v>596</v>
      </c>
      <c r="B573" s="14" t="s">
        <v>18</v>
      </c>
      <c r="C573" s="15">
        <v>169.95</v>
      </c>
      <c r="D573" s="13" t="s">
        <v>19</v>
      </c>
      <c r="E573" s="15">
        <v>160.83</v>
      </c>
      <c r="F573" s="15">
        <v>5.0</v>
      </c>
      <c r="G573" s="15">
        <v>2.0</v>
      </c>
      <c r="H573" s="15">
        <v>5.0</v>
      </c>
      <c r="I573" s="16">
        <v>-1.3050126</v>
      </c>
      <c r="J573" s="17">
        <f>IFERROR(__xludf.DUMMYFUNCTION("INDEX(GOOGLEFINANCE(A573, ""open"", $J$1, $J$1), 2, 2)"),165.02)</f>
        <v>165.02</v>
      </c>
      <c r="K573" s="17">
        <f>IFERROR(__xludf.DUMMYFUNCTION("INDEX(GOOGLEFINANCE(A573, ""close"", $K$1, $K$1), 2, 2)"),165.13)</f>
        <v>165.13</v>
      </c>
      <c r="L573" s="8">
        <f t="shared" si="1"/>
        <v>0.06665858684</v>
      </c>
      <c r="M573" s="18">
        <f t="shared" si="2"/>
        <v>0.6665858684</v>
      </c>
      <c r="N573" s="18" t="str">
        <f t="shared" si="3"/>
        <v>Put Spread</v>
      </c>
      <c r="O573" s="18" t="str">
        <f t="shared" si="4"/>
        <v>Success</v>
      </c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</row>
    <row r="574">
      <c r="A574" s="13" t="s">
        <v>597</v>
      </c>
      <c r="B574" s="14" t="s">
        <v>18</v>
      </c>
      <c r="C574" s="15">
        <v>104.02</v>
      </c>
      <c r="D574" s="13" t="s">
        <v>19</v>
      </c>
      <c r="E574" s="15">
        <v>101.64</v>
      </c>
      <c r="F574" s="15">
        <v>5.0</v>
      </c>
      <c r="G574" s="15">
        <v>2.0</v>
      </c>
      <c r="H574" s="15">
        <v>4.0</v>
      </c>
      <c r="I574" s="16">
        <v>0.0</v>
      </c>
      <c r="J574" s="17">
        <f>IFERROR(__xludf.DUMMYFUNCTION("INDEX(GOOGLEFINANCE(A574, ""open"", $J$1, $J$1), 2, 2)"),102.83)</f>
        <v>102.83</v>
      </c>
      <c r="K574" s="17">
        <f>IFERROR(__xludf.DUMMYFUNCTION("INDEX(GOOGLEFINANCE(A574, ""close"", $K$1, $K$1), 2, 2)"),102.92)</f>
        <v>102.92</v>
      </c>
      <c r="L574" s="20">
        <f t="shared" si="1"/>
        <v>0.08752309637</v>
      </c>
      <c r="M574" s="18">
        <f t="shared" si="2"/>
        <v>0.8752309637</v>
      </c>
      <c r="N574" s="18" t="str">
        <f t="shared" si="3"/>
        <v>Put Spread</v>
      </c>
      <c r="O574" s="18" t="str">
        <f t="shared" si="4"/>
        <v>Success</v>
      </c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</row>
    <row r="575">
      <c r="A575" s="13" t="s">
        <v>598</v>
      </c>
      <c r="B575" s="14" t="s">
        <v>18</v>
      </c>
      <c r="C575" s="15">
        <v>11.51</v>
      </c>
      <c r="D575" s="13" t="s">
        <v>19</v>
      </c>
      <c r="E575" s="15">
        <v>9.23</v>
      </c>
      <c r="F575" s="15">
        <v>4.0</v>
      </c>
      <c r="G575" s="15">
        <v>2.0</v>
      </c>
      <c r="H575" s="15">
        <v>1.0</v>
      </c>
      <c r="I575" s="16">
        <v>4.50348627537072</v>
      </c>
      <c r="J575" s="17">
        <f>IFERROR(__xludf.DUMMYFUNCTION("INDEX(GOOGLEFINANCE(A575, ""open"", $J$1, $J$1), 2, 2)"),10.31)</f>
        <v>10.31</v>
      </c>
      <c r="K575" s="17">
        <f>IFERROR(__xludf.DUMMYFUNCTION("INDEX(GOOGLEFINANCE(A575, ""close"", $K$1, $K$1), 2, 2)"),10.32)</f>
        <v>10.32</v>
      </c>
      <c r="L575" s="20">
        <f t="shared" si="1"/>
        <v>0.09699321048</v>
      </c>
      <c r="M575" s="18">
        <f t="shared" si="2"/>
        <v>0.9699321048</v>
      </c>
      <c r="N575" s="18" t="str">
        <f t="shared" si="3"/>
        <v>Put Spread</v>
      </c>
      <c r="O575" s="18" t="str">
        <f t="shared" si="4"/>
        <v>Success</v>
      </c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</row>
    <row r="576">
      <c r="A576" s="13" t="s">
        <v>599</v>
      </c>
      <c r="B576" s="14" t="s">
        <v>18</v>
      </c>
      <c r="C576" s="15">
        <v>265.78</v>
      </c>
      <c r="D576" s="13" t="s">
        <v>19</v>
      </c>
      <c r="E576" s="15">
        <v>234.06</v>
      </c>
      <c r="F576" s="15">
        <v>4.0</v>
      </c>
      <c r="G576" s="15">
        <v>3.0</v>
      </c>
      <c r="H576" s="15">
        <v>4.0</v>
      </c>
      <c r="I576" s="16">
        <v>0.0</v>
      </c>
      <c r="J576" s="17">
        <f>IFERROR(__xludf.DUMMYFUNCTION("INDEX(GOOGLEFINANCE(A576, ""open"", $J$1, $J$1), 2, 2)"),250.0)</f>
        <v>250</v>
      </c>
      <c r="K576" s="17">
        <f>IFERROR(__xludf.DUMMYFUNCTION("INDEX(GOOGLEFINANCE(A576, ""close"", $K$1, $K$1), 2, 2)"),248.35)</f>
        <v>248.35</v>
      </c>
      <c r="L576" s="8">
        <f t="shared" si="1"/>
        <v>-0.66</v>
      </c>
      <c r="M576" s="18">
        <f t="shared" si="2"/>
        <v>-6.6</v>
      </c>
      <c r="N576" s="18" t="str">
        <f t="shared" si="3"/>
        <v>Put Spread</v>
      </c>
      <c r="O576" s="18" t="str">
        <f t="shared" si="4"/>
        <v>Success</v>
      </c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</row>
    <row r="577">
      <c r="A577" s="13" t="s">
        <v>600</v>
      </c>
      <c r="B577" s="14" t="s">
        <v>18</v>
      </c>
      <c r="C577" s="15">
        <v>151.48</v>
      </c>
      <c r="D577" s="13" t="s">
        <v>19</v>
      </c>
      <c r="E577" s="15">
        <v>137.74</v>
      </c>
      <c r="F577" s="15">
        <v>4.0</v>
      </c>
      <c r="G577" s="15">
        <v>2.0</v>
      </c>
      <c r="H577" s="15">
        <v>4.0</v>
      </c>
      <c r="I577" s="16">
        <v>0.0</v>
      </c>
      <c r="J577" s="17">
        <f>IFERROR(__xludf.DUMMYFUNCTION("INDEX(GOOGLEFINANCE(A577, ""open"", $J$1, $J$1), 2, 2)"),145.99)</f>
        <v>145.99</v>
      </c>
      <c r="K577" s="17">
        <f>IFERROR(__xludf.DUMMYFUNCTION("INDEX(GOOGLEFINANCE(A577, ""close"", $K$1, $K$1), 2, 2)"),146.09)</f>
        <v>146.09</v>
      </c>
      <c r="L577" s="8">
        <f t="shared" si="1"/>
        <v>0.06849784232</v>
      </c>
      <c r="M577" s="18">
        <f t="shared" si="2"/>
        <v>0.6849784232</v>
      </c>
      <c r="N577" s="18" t="str">
        <f t="shared" si="3"/>
        <v>Put Spread</v>
      </c>
      <c r="O577" s="18" t="str">
        <f t="shared" si="4"/>
        <v>Success</v>
      </c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</row>
    <row r="578">
      <c r="A578" s="13" t="s">
        <v>601</v>
      </c>
      <c r="B578" s="14" t="s">
        <v>18</v>
      </c>
      <c r="C578" s="15">
        <v>199.51</v>
      </c>
      <c r="D578" s="13" t="s">
        <v>19</v>
      </c>
      <c r="E578" s="15">
        <v>171.13</v>
      </c>
      <c r="F578" s="15">
        <v>3.0</v>
      </c>
      <c r="G578" s="15">
        <v>1.0</v>
      </c>
      <c r="H578" s="15">
        <v>4.0</v>
      </c>
      <c r="I578" s="16">
        <v>1.3018803419816</v>
      </c>
      <c r="J578" s="17">
        <f>IFERROR(__xludf.DUMMYFUNCTION("INDEX(GOOGLEFINANCE(A578, ""open"", $J$1, $J$1), 2, 2)"),183.75)</f>
        <v>183.75</v>
      </c>
      <c r="K578" s="17">
        <f>IFERROR(__xludf.DUMMYFUNCTION("INDEX(GOOGLEFINANCE(A578, ""close"", $K$1, $K$1), 2, 2)"),183.97)</f>
        <v>183.97</v>
      </c>
      <c r="L578" s="8">
        <f t="shared" si="1"/>
        <v>0.1197278912</v>
      </c>
      <c r="M578" s="18">
        <f t="shared" si="2"/>
        <v>1.197278912</v>
      </c>
      <c r="N578" s="18" t="str">
        <f t="shared" si="3"/>
        <v>Put Spread</v>
      </c>
      <c r="O578" s="18" t="str">
        <f t="shared" si="4"/>
        <v>Success</v>
      </c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</row>
    <row r="579">
      <c r="A579" s="13" t="s">
        <v>602</v>
      </c>
      <c r="B579" s="14" t="s">
        <v>18</v>
      </c>
      <c r="C579" s="15">
        <v>82.81</v>
      </c>
      <c r="D579" s="13" t="s">
        <v>19</v>
      </c>
      <c r="E579" s="15">
        <v>82.29</v>
      </c>
      <c r="F579" s="15">
        <v>4.0</v>
      </c>
      <c r="G579" s="15">
        <v>2.0</v>
      </c>
      <c r="H579" s="15">
        <v>4.0</v>
      </c>
      <c r="I579" s="16">
        <v>2.10052414891894</v>
      </c>
      <c r="J579" s="17">
        <f>IFERROR(__xludf.DUMMYFUNCTION("INDEX(GOOGLEFINANCE(A579, ""open"", $J$1, $J$1), 2, 2)"),82.54)</f>
        <v>82.54</v>
      </c>
      <c r="K579" s="17">
        <f>IFERROR(__xludf.DUMMYFUNCTION("INDEX(GOOGLEFINANCE(A579, ""close"", $K$1, $K$1), 2, 2)"),82.66)</f>
        <v>82.66</v>
      </c>
      <c r="L579" s="8">
        <f t="shared" si="1"/>
        <v>0.1453840562</v>
      </c>
      <c r="M579" s="18">
        <f t="shared" si="2"/>
        <v>1.453840562</v>
      </c>
      <c r="N579" s="18" t="str">
        <f t="shared" si="3"/>
        <v>Put Spread</v>
      </c>
      <c r="O579" s="18" t="str">
        <f t="shared" si="4"/>
        <v>Success</v>
      </c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</row>
    <row r="580">
      <c r="A580" s="13" t="s">
        <v>603</v>
      </c>
      <c r="B580" s="14" t="s">
        <v>18</v>
      </c>
      <c r="C580" s="15">
        <v>70.38</v>
      </c>
      <c r="D580" s="13" t="s">
        <v>19</v>
      </c>
      <c r="E580" s="15">
        <v>67.96</v>
      </c>
      <c r="F580" s="15">
        <v>3.0</v>
      </c>
      <c r="G580" s="15">
        <v>0.0</v>
      </c>
      <c r="H580" s="15">
        <v>1.0</v>
      </c>
      <c r="I580" s="16">
        <v>0.0</v>
      </c>
      <c r="J580" s="17">
        <f>IFERROR(__xludf.DUMMYFUNCTION("INDEX(GOOGLEFINANCE(A580, ""open"", $J$1, $J$1), 2, 2)"),68.74)</f>
        <v>68.74</v>
      </c>
      <c r="K580" s="17">
        <f>IFERROR(__xludf.DUMMYFUNCTION("INDEX(GOOGLEFINANCE(A580, ""close"", $K$1, $K$1), 2, 2)"),68.86)</f>
        <v>68.86</v>
      </c>
      <c r="L580" s="20">
        <f t="shared" si="1"/>
        <v>0.1745708467</v>
      </c>
      <c r="M580" s="18">
        <f t="shared" si="2"/>
        <v>1.745708467</v>
      </c>
      <c r="N580" s="18" t="str">
        <f t="shared" si="3"/>
        <v>Put Spread</v>
      </c>
      <c r="O580" s="18" t="str">
        <f t="shared" si="4"/>
        <v>Success</v>
      </c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</row>
    <row r="581">
      <c r="A581" s="13" t="s">
        <v>604</v>
      </c>
      <c r="B581" s="26" t="s">
        <v>47</v>
      </c>
      <c r="C581" s="15">
        <v>111.73</v>
      </c>
      <c r="D581" s="13" t="s">
        <v>48</v>
      </c>
      <c r="E581" s="15">
        <v>122.65</v>
      </c>
      <c r="F581" s="15">
        <v>0.0</v>
      </c>
      <c r="G581" s="15">
        <v>3.0</v>
      </c>
      <c r="H581" s="15">
        <v>2.0</v>
      </c>
      <c r="I581" s="16">
        <v>0.0</v>
      </c>
      <c r="J581" s="17">
        <f>IFERROR(__xludf.DUMMYFUNCTION("INDEX(GOOGLEFINANCE(A581, ""open"", $J$1, $J$1), 2, 2)"),116.12)</f>
        <v>116.12</v>
      </c>
      <c r="K581" s="17">
        <f>IFERROR(__xludf.DUMMYFUNCTION("INDEX(GOOGLEFINANCE(A581, ""close"", $K$1, $K$1), 2, 2)"),115.89)</f>
        <v>115.89</v>
      </c>
      <c r="L581" s="8">
        <f t="shared" si="1"/>
        <v>0.1980709611</v>
      </c>
      <c r="M581" s="18">
        <f t="shared" si="2"/>
        <v>1.980709611</v>
      </c>
      <c r="N581" s="18" t="str">
        <f t="shared" si="3"/>
        <v>Call Spread</v>
      </c>
      <c r="O581" s="18" t="str">
        <f t="shared" si="4"/>
        <v>Success</v>
      </c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</row>
    <row r="582">
      <c r="A582" s="13" t="s">
        <v>605</v>
      </c>
      <c r="B582" s="14" t="s">
        <v>18</v>
      </c>
      <c r="C582" s="15">
        <v>119.76</v>
      </c>
      <c r="D582" s="13" t="s">
        <v>19</v>
      </c>
      <c r="E582" s="15">
        <v>109.06</v>
      </c>
      <c r="F582" s="15">
        <v>3.0</v>
      </c>
      <c r="G582" s="15">
        <v>1.0</v>
      </c>
      <c r="H582" s="15">
        <v>5.0</v>
      </c>
      <c r="I582" s="16">
        <v>0.0</v>
      </c>
      <c r="J582" s="17">
        <f>IFERROR(__xludf.DUMMYFUNCTION("INDEX(GOOGLEFINANCE(A582, ""open"", $J$1, $J$1), 2, 2)"),114.49)</f>
        <v>114.49</v>
      </c>
      <c r="K582" s="17">
        <f>IFERROR(__xludf.DUMMYFUNCTION("INDEX(GOOGLEFINANCE(A582, ""close"", $K$1, $K$1), 2, 2)"),114.73)</f>
        <v>114.73</v>
      </c>
      <c r="L582" s="8">
        <f t="shared" si="1"/>
        <v>0.2096252948</v>
      </c>
      <c r="M582" s="18">
        <f t="shared" si="2"/>
        <v>2.096252948</v>
      </c>
      <c r="N582" s="18" t="str">
        <f t="shared" si="3"/>
        <v>Put Spread</v>
      </c>
      <c r="O582" s="18" t="str">
        <f t="shared" si="4"/>
        <v>Success</v>
      </c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</row>
    <row r="583">
      <c r="A583" s="13" t="s">
        <v>606</v>
      </c>
      <c r="B583" s="14" t="s">
        <v>18</v>
      </c>
      <c r="C583" s="15">
        <v>63.46</v>
      </c>
      <c r="D583" s="13" t="s">
        <v>19</v>
      </c>
      <c r="E583" s="15">
        <v>58.91</v>
      </c>
      <c r="F583" s="15">
        <v>3.0</v>
      </c>
      <c r="G583" s="15">
        <v>1.0</v>
      </c>
      <c r="H583" s="15">
        <v>1.0</v>
      </c>
      <c r="I583" s="16">
        <v>0.293751894087192</v>
      </c>
      <c r="J583" s="17">
        <f>IFERROR(__xludf.DUMMYFUNCTION("INDEX(GOOGLEFINANCE(A583, ""open"", $J$1, $J$1), 2, 2)"),62.56)</f>
        <v>62.56</v>
      </c>
      <c r="K583" s="17">
        <f>IFERROR(__xludf.DUMMYFUNCTION("INDEX(GOOGLEFINANCE(A583, ""close"", $K$1, $K$1), 2, 2)"),62.69)</f>
        <v>62.69</v>
      </c>
      <c r="L583" s="20">
        <f t="shared" si="1"/>
        <v>0.2078005115</v>
      </c>
      <c r="M583" s="18">
        <f t="shared" si="2"/>
        <v>2.078005115</v>
      </c>
      <c r="N583" s="18" t="str">
        <f t="shared" si="3"/>
        <v>Put Spread</v>
      </c>
      <c r="O583" s="18" t="str">
        <f t="shared" si="4"/>
        <v>Success</v>
      </c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</row>
    <row r="584">
      <c r="A584" s="13" t="s">
        <v>607</v>
      </c>
      <c r="B584" s="14" t="s">
        <v>18</v>
      </c>
      <c r="C584" s="15">
        <v>108.22</v>
      </c>
      <c r="D584" s="13" t="s">
        <v>19</v>
      </c>
      <c r="E584" s="15">
        <v>92.06</v>
      </c>
      <c r="F584" s="15">
        <v>4.0</v>
      </c>
      <c r="G584" s="15">
        <v>3.0</v>
      </c>
      <c r="H584" s="15">
        <v>4.0</v>
      </c>
      <c r="I584" s="16">
        <v>0.0</v>
      </c>
      <c r="J584" s="17">
        <f>IFERROR(__xludf.DUMMYFUNCTION("INDEX(GOOGLEFINANCE(A584, ""open"", $J$1, $J$1), 2, 2)"),102.55)</f>
        <v>102.55</v>
      </c>
      <c r="K584" s="17">
        <f>IFERROR(__xludf.DUMMYFUNCTION("INDEX(GOOGLEFINANCE(A584, ""close"", $K$1, $K$1), 2, 2)"),102.79)</f>
        <v>102.79</v>
      </c>
      <c r="L584" s="8">
        <f t="shared" si="1"/>
        <v>0.2340321794</v>
      </c>
      <c r="M584" s="18">
        <f t="shared" si="2"/>
        <v>2.340321794</v>
      </c>
      <c r="N584" s="18" t="str">
        <f t="shared" si="3"/>
        <v>Put Spread</v>
      </c>
      <c r="O584" s="18" t="str">
        <f t="shared" si="4"/>
        <v>Success</v>
      </c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</row>
    <row r="585">
      <c r="A585" s="13" t="s">
        <v>608</v>
      </c>
      <c r="B585" s="14" t="s">
        <v>18</v>
      </c>
      <c r="C585" s="15">
        <v>97.37</v>
      </c>
      <c r="D585" s="13" t="s">
        <v>19</v>
      </c>
      <c r="E585" s="15">
        <v>92.31</v>
      </c>
      <c r="F585" s="15">
        <v>5.0</v>
      </c>
      <c r="G585" s="15">
        <v>1.0</v>
      </c>
      <c r="H585" s="15">
        <v>5.0</v>
      </c>
      <c r="I585" s="16">
        <v>1.5138033004529</v>
      </c>
      <c r="J585" s="17">
        <f>IFERROR(__xludf.DUMMYFUNCTION("INDEX(GOOGLEFINANCE(A585, ""open"", $J$1, $J$1), 2, 2)"),94.98)</f>
        <v>94.98</v>
      </c>
      <c r="K585" s="17">
        <f>IFERROR(__xludf.DUMMYFUNCTION("INDEX(GOOGLEFINANCE(A585, ""close"", $K$1, $K$1), 2, 2)"),95.17)</f>
        <v>95.17</v>
      </c>
      <c r="L585" s="20">
        <f t="shared" si="1"/>
        <v>0.2000421141</v>
      </c>
      <c r="M585" s="18">
        <f t="shared" si="2"/>
        <v>2.000421141</v>
      </c>
      <c r="N585" s="18" t="str">
        <f t="shared" si="3"/>
        <v>Put Spread</v>
      </c>
      <c r="O585" s="18" t="str">
        <f t="shared" si="4"/>
        <v>Success</v>
      </c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</row>
    <row r="586">
      <c r="A586" s="13" t="s">
        <v>609</v>
      </c>
      <c r="B586" s="14" t="s">
        <v>18</v>
      </c>
      <c r="C586" s="15">
        <v>50.03</v>
      </c>
      <c r="D586" s="13" t="s">
        <v>19</v>
      </c>
      <c r="E586" s="15">
        <v>48.47</v>
      </c>
      <c r="F586" s="15">
        <v>5.0</v>
      </c>
      <c r="G586" s="15">
        <v>2.0</v>
      </c>
      <c r="H586" s="15">
        <v>0.0</v>
      </c>
      <c r="I586" s="16">
        <v>1.68455458743529</v>
      </c>
      <c r="J586" s="17">
        <f>IFERROR(__xludf.DUMMYFUNCTION("INDEX(GOOGLEFINANCE(A586, ""open"", $J$1, $J$1), 2, 2)"),49.29)</f>
        <v>49.29</v>
      </c>
      <c r="K586" s="17">
        <f>IFERROR(__xludf.DUMMYFUNCTION("INDEX(GOOGLEFINANCE(A586, ""close"", $K$1, $K$1), 2, 2)"),49.42)</f>
        <v>49.42</v>
      </c>
      <c r="L586" s="8">
        <f t="shared" si="1"/>
        <v>0.2637451816</v>
      </c>
      <c r="M586" s="18">
        <f t="shared" si="2"/>
        <v>2.637451816</v>
      </c>
      <c r="N586" s="18" t="str">
        <f t="shared" si="3"/>
        <v>Put Spread</v>
      </c>
      <c r="O586" s="18" t="str">
        <f t="shared" si="4"/>
        <v>Success</v>
      </c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</row>
    <row r="587">
      <c r="A587" s="13" t="s">
        <v>610</v>
      </c>
      <c r="B587" s="14" t="s">
        <v>18</v>
      </c>
      <c r="C587" s="15">
        <v>784.66</v>
      </c>
      <c r="D587" s="13" t="s">
        <v>19</v>
      </c>
      <c r="E587" s="15">
        <v>685.36</v>
      </c>
      <c r="F587" s="15">
        <v>3.0</v>
      </c>
      <c r="G587" s="15">
        <v>2.0</v>
      </c>
      <c r="H587" s="15">
        <v>2.0</v>
      </c>
      <c r="I587" s="16">
        <v>0.0</v>
      </c>
      <c r="J587" s="17">
        <f>IFERROR(__xludf.DUMMYFUNCTION("INDEX(GOOGLEFINANCE(A587, ""open"", $J$1, $J$1), 2, 2)"),740.36)</f>
        <v>740.36</v>
      </c>
      <c r="K587" s="17">
        <f>IFERROR(__xludf.DUMMYFUNCTION("INDEX(GOOGLEFINANCE(A587, ""close"", $K$1, $K$1), 2, 2)"),742.47)</f>
        <v>742.47</v>
      </c>
      <c r="L587" s="8">
        <f t="shared" si="1"/>
        <v>0.2849964882</v>
      </c>
      <c r="M587" s="18">
        <f t="shared" si="2"/>
        <v>2.849964882</v>
      </c>
      <c r="N587" s="18" t="str">
        <f t="shared" si="3"/>
        <v>Put Spread</v>
      </c>
      <c r="O587" s="18" t="str">
        <f t="shared" si="4"/>
        <v>Success</v>
      </c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</row>
    <row r="588">
      <c r="A588" s="13" t="s">
        <v>611</v>
      </c>
      <c r="B588" s="14" t="s">
        <v>18</v>
      </c>
      <c r="C588" s="15">
        <v>83.45</v>
      </c>
      <c r="D588" s="13" t="s">
        <v>19</v>
      </c>
      <c r="E588" s="15">
        <v>78.19</v>
      </c>
      <c r="F588" s="15">
        <v>4.0</v>
      </c>
      <c r="G588" s="15">
        <v>2.0</v>
      </c>
      <c r="H588" s="15">
        <v>4.0</v>
      </c>
      <c r="I588" s="16">
        <v>0.0</v>
      </c>
      <c r="J588" s="17">
        <f>IFERROR(__xludf.DUMMYFUNCTION("INDEX(GOOGLEFINANCE(A588, ""open"", $J$1, $J$1), 2, 2)"),80.72)</f>
        <v>80.72</v>
      </c>
      <c r="K588" s="17">
        <f>IFERROR(__xludf.DUMMYFUNCTION("INDEX(GOOGLEFINANCE(A588, ""close"", $K$1, $K$1), 2, 2)"),80.97)</f>
        <v>80.97</v>
      </c>
      <c r="L588" s="8">
        <f t="shared" si="1"/>
        <v>0.3097125867</v>
      </c>
      <c r="M588" s="18">
        <f t="shared" si="2"/>
        <v>3.097125867</v>
      </c>
      <c r="N588" s="18" t="str">
        <f t="shared" si="3"/>
        <v>Put Spread</v>
      </c>
      <c r="O588" s="18" t="str">
        <f t="shared" si="4"/>
        <v>Success</v>
      </c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</row>
    <row r="589">
      <c r="A589" s="13" t="s">
        <v>612</v>
      </c>
      <c r="B589" s="14" t="s">
        <v>18</v>
      </c>
      <c r="C589" s="15">
        <v>189.61</v>
      </c>
      <c r="D589" s="13" t="s">
        <v>19</v>
      </c>
      <c r="E589" s="15">
        <v>179.27</v>
      </c>
      <c r="F589" s="15">
        <v>2.0</v>
      </c>
      <c r="G589" s="15">
        <v>3.0</v>
      </c>
      <c r="H589" s="15">
        <v>5.0</v>
      </c>
      <c r="I589" s="16">
        <v>0.0</v>
      </c>
      <c r="J589" s="17">
        <f>IFERROR(__xludf.DUMMYFUNCTION("INDEX(GOOGLEFINANCE(A589, ""open"", $J$1, $J$1), 2, 2)"),184.0)</f>
        <v>184</v>
      </c>
      <c r="K589" s="17">
        <f>IFERROR(__xludf.DUMMYFUNCTION("INDEX(GOOGLEFINANCE(A589, ""close"", $K$1, $K$1), 2, 2)"),184.6)</f>
        <v>184.6</v>
      </c>
      <c r="L589" s="20">
        <f t="shared" si="1"/>
        <v>0.3260869565</v>
      </c>
      <c r="M589" s="18">
        <f t="shared" si="2"/>
        <v>3.260869565</v>
      </c>
      <c r="N589" s="18" t="str">
        <f t="shared" si="3"/>
        <v>Put Spread</v>
      </c>
      <c r="O589" s="18" t="str">
        <f t="shared" si="4"/>
        <v>Success</v>
      </c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</row>
    <row r="590">
      <c r="A590" s="13" t="s">
        <v>613</v>
      </c>
      <c r="B590" s="14" t="s">
        <v>18</v>
      </c>
      <c r="C590" s="15">
        <v>284.31</v>
      </c>
      <c r="D590" s="13" t="s">
        <v>19</v>
      </c>
      <c r="E590" s="15">
        <v>265.35</v>
      </c>
      <c r="F590" s="15">
        <v>2.0</v>
      </c>
      <c r="G590" s="15">
        <v>3.0</v>
      </c>
      <c r="H590" s="15">
        <v>5.0</v>
      </c>
      <c r="I590" s="16">
        <v>-4.1170257</v>
      </c>
      <c r="J590" s="17">
        <f>IFERROR(__xludf.DUMMYFUNCTION("INDEX(GOOGLEFINANCE(A590, ""open"", $J$1, $J$1), 2, 2)"),274.0)</f>
        <v>274</v>
      </c>
      <c r="K590" s="17">
        <f>IFERROR(__xludf.DUMMYFUNCTION("INDEX(GOOGLEFINANCE(A590, ""close"", $K$1, $K$1), 2, 2)"),274.94)</f>
        <v>274.94</v>
      </c>
      <c r="L590" s="8">
        <f t="shared" si="1"/>
        <v>0.3430656934</v>
      </c>
      <c r="M590" s="18">
        <f t="shared" si="2"/>
        <v>3.430656934</v>
      </c>
      <c r="N590" s="18" t="str">
        <f t="shared" si="3"/>
        <v>Put Spread</v>
      </c>
      <c r="O590" s="18" t="str">
        <f t="shared" si="4"/>
        <v>Success</v>
      </c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</row>
    <row r="591">
      <c r="A591" s="13" t="s">
        <v>614</v>
      </c>
      <c r="B591" s="14" t="s">
        <v>18</v>
      </c>
      <c r="C591" s="15">
        <v>11.9</v>
      </c>
      <c r="D591" s="13" t="s">
        <v>19</v>
      </c>
      <c r="E591" s="15">
        <v>11.32</v>
      </c>
      <c r="F591" s="15">
        <v>2.0</v>
      </c>
      <c r="G591" s="15">
        <v>2.0</v>
      </c>
      <c r="H591" s="15">
        <v>4.0</v>
      </c>
      <c r="I591" s="16">
        <v>0.172916661358474</v>
      </c>
      <c r="J591" s="17">
        <f>IFERROR(__xludf.DUMMYFUNCTION("INDEX(GOOGLEFINANCE(A591, ""open"", $J$1, $J$1), 2, 2)"),11.6)</f>
        <v>11.6</v>
      </c>
      <c r="K591" s="17">
        <f>IFERROR(__xludf.DUMMYFUNCTION("INDEX(GOOGLEFINANCE(A591, ""close"", $K$1, $K$1), 2, 2)"),11.64)</f>
        <v>11.64</v>
      </c>
      <c r="L591" s="20">
        <f t="shared" si="1"/>
        <v>0.3448275862</v>
      </c>
      <c r="M591" s="18">
        <f t="shared" si="2"/>
        <v>3.448275862</v>
      </c>
      <c r="N591" s="18" t="str">
        <f t="shared" si="3"/>
        <v>Put Spread</v>
      </c>
      <c r="O591" s="18" t="str">
        <f t="shared" si="4"/>
        <v>Success</v>
      </c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</row>
    <row r="592">
      <c r="A592" s="13" t="s">
        <v>615</v>
      </c>
      <c r="B592" s="14" t="s">
        <v>18</v>
      </c>
      <c r="C592" s="15">
        <v>5.43</v>
      </c>
      <c r="D592" s="13" t="s">
        <v>19</v>
      </c>
      <c r="E592" s="15">
        <v>4.41</v>
      </c>
      <c r="F592" s="15">
        <v>5.0</v>
      </c>
      <c r="G592" s="15">
        <v>4.0</v>
      </c>
      <c r="H592" s="15">
        <v>4.0</v>
      </c>
      <c r="I592" s="16">
        <v>0.739863781670243</v>
      </c>
      <c r="J592" s="17">
        <f>IFERROR(__xludf.DUMMYFUNCTION("INDEX(GOOGLEFINANCE(A592, ""open"", $J$1, $J$1), 2, 2)"),4.99)</f>
        <v>4.99</v>
      </c>
      <c r="K592" s="17">
        <f>IFERROR(__xludf.DUMMYFUNCTION("INDEX(GOOGLEFINANCE(A592, ""close"", $K$1, $K$1), 2, 2)"),5.01)</f>
        <v>5.01</v>
      </c>
      <c r="L592" s="8">
        <f t="shared" si="1"/>
        <v>0.4008016032</v>
      </c>
      <c r="M592" s="18">
        <f t="shared" si="2"/>
        <v>4.008016032</v>
      </c>
      <c r="N592" s="18" t="str">
        <f t="shared" si="3"/>
        <v>Put Spread</v>
      </c>
      <c r="O592" s="18" t="str">
        <f t="shared" si="4"/>
        <v>Success</v>
      </c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</row>
    <row r="593">
      <c r="A593" s="13" t="s">
        <v>616</v>
      </c>
      <c r="B593" s="14" t="s">
        <v>18</v>
      </c>
      <c r="C593" s="15">
        <v>13.95</v>
      </c>
      <c r="D593" s="13" t="s">
        <v>19</v>
      </c>
      <c r="E593" s="15">
        <v>11.07</v>
      </c>
      <c r="F593" s="15">
        <v>4.0</v>
      </c>
      <c r="G593" s="15">
        <v>2.0</v>
      </c>
      <c r="H593" s="15">
        <v>1.0</v>
      </c>
      <c r="I593" s="16">
        <v>3.07739924</v>
      </c>
      <c r="J593" s="17">
        <f>IFERROR(__xludf.DUMMYFUNCTION("INDEX(GOOGLEFINANCE(A593, ""open"", $J$1, $J$1), 2, 2)"),12.42)</f>
        <v>12.42</v>
      </c>
      <c r="K593" s="17">
        <f>IFERROR(__xludf.DUMMYFUNCTION("INDEX(GOOGLEFINANCE(A593, ""close"", $K$1, $K$1), 2, 2)"),12.47)</f>
        <v>12.47</v>
      </c>
      <c r="L593" s="8">
        <f t="shared" si="1"/>
        <v>0.4025764895</v>
      </c>
      <c r="M593" s="18">
        <f t="shared" si="2"/>
        <v>4.025764895</v>
      </c>
      <c r="N593" s="18" t="str">
        <f t="shared" si="3"/>
        <v>Put Spread</v>
      </c>
      <c r="O593" s="18" t="str">
        <f t="shared" si="4"/>
        <v>Success</v>
      </c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</row>
    <row r="594">
      <c r="A594" s="13" t="s">
        <v>617</v>
      </c>
      <c r="B594" s="14" t="s">
        <v>18</v>
      </c>
      <c r="C594" s="15">
        <v>110.59</v>
      </c>
      <c r="D594" s="13" t="s">
        <v>19</v>
      </c>
      <c r="E594" s="15">
        <v>109.07</v>
      </c>
      <c r="F594" s="15">
        <v>3.0</v>
      </c>
      <c r="G594" s="15">
        <v>2.0</v>
      </c>
      <c r="H594" s="15">
        <v>5.0</v>
      </c>
      <c r="I594" s="16">
        <v>2.16764691712625</v>
      </c>
      <c r="J594" s="17">
        <f>IFERROR(__xludf.DUMMYFUNCTION("INDEX(GOOGLEFINANCE(A594, ""open"", $J$1, $J$1), 2, 2)"),109.71)</f>
        <v>109.71</v>
      </c>
      <c r="K594" s="17">
        <f>IFERROR(__xludf.DUMMYFUNCTION("INDEX(GOOGLEFINANCE(A594, ""close"", $K$1, $K$1), 2, 2)"),110.17)</f>
        <v>110.17</v>
      </c>
      <c r="L594" s="8">
        <f t="shared" si="1"/>
        <v>0.4192872117</v>
      </c>
      <c r="M594" s="18">
        <f t="shared" si="2"/>
        <v>4.192872117</v>
      </c>
      <c r="N594" s="18" t="str">
        <f t="shared" si="3"/>
        <v>Put Spread</v>
      </c>
      <c r="O594" s="18" t="str">
        <f t="shared" si="4"/>
        <v>Success</v>
      </c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</row>
    <row r="595">
      <c r="A595" s="13" t="s">
        <v>618</v>
      </c>
      <c r="B595" s="14" t="s">
        <v>18</v>
      </c>
      <c r="C595" s="15">
        <v>18.28</v>
      </c>
      <c r="D595" s="13" t="s">
        <v>19</v>
      </c>
      <c r="E595" s="15">
        <v>16.0</v>
      </c>
      <c r="F595" s="15">
        <v>4.0</v>
      </c>
      <c r="G595" s="15">
        <v>1.0</v>
      </c>
      <c r="H595" s="15">
        <v>2.0</v>
      </c>
      <c r="I595" s="16">
        <v>0.0</v>
      </c>
      <c r="J595" s="17">
        <f>IFERROR(__xludf.DUMMYFUNCTION("INDEX(GOOGLEFINANCE(A595, ""open"", $J$1, $J$1), 2, 2)"),16.35)</f>
        <v>16.35</v>
      </c>
      <c r="K595" s="17">
        <f>IFERROR(__xludf.DUMMYFUNCTION("INDEX(GOOGLEFINANCE(A595, ""close"", $K$1, $K$1), 2, 2)"),16.42)</f>
        <v>16.42</v>
      </c>
      <c r="L595" s="8">
        <f t="shared" si="1"/>
        <v>0.4281345566</v>
      </c>
      <c r="M595" s="18">
        <f t="shared" si="2"/>
        <v>4.281345566</v>
      </c>
      <c r="N595" s="18" t="str">
        <f t="shared" si="3"/>
        <v>Put Spread</v>
      </c>
      <c r="O595" s="18" t="str">
        <f t="shared" si="4"/>
        <v>Success</v>
      </c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</row>
    <row r="596">
      <c r="A596" s="13" t="s">
        <v>619</v>
      </c>
      <c r="B596" s="26" t="s">
        <v>47</v>
      </c>
      <c r="C596" s="15">
        <v>30.96</v>
      </c>
      <c r="D596" s="13" t="s">
        <v>48</v>
      </c>
      <c r="E596" s="15">
        <v>34.36</v>
      </c>
      <c r="F596" s="15">
        <v>1.0</v>
      </c>
      <c r="G596" s="15">
        <v>3.0</v>
      </c>
      <c r="H596" s="15">
        <v>3.0</v>
      </c>
      <c r="I596" s="16">
        <v>0.0</v>
      </c>
      <c r="J596" s="17">
        <f>IFERROR(__xludf.DUMMYFUNCTION("INDEX(GOOGLEFINANCE(A596, ""open"", $J$1, $J$1), 2, 2)"),32.47)</f>
        <v>32.47</v>
      </c>
      <c r="K596" s="17">
        <f>IFERROR(__xludf.DUMMYFUNCTION("INDEX(GOOGLEFINANCE(A596, ""close"", $K$1, $K$1), 2, 2)"),32.33)</f>
        <v>32.33</v>
      </c>
      <c r="L596" s="8">
        <f t="shared" si="1"/>
        <v>0.4311672313</v>
      </c>
      <c r="M596" s="18">
        <f t="shared" si="2"/>
        <v>4.311672313</v>
      </c>
      <c r="N596" s="18" t="str">
        <f t="shared" si="3"/>
        <v>Call Spread</v>
      </c>
      <c r="O596" s="18" t="str">
        <f t="shared" si="4"/>
        <v>Success</v>
      </c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</row>
    <row r="597">
      <c r="A597" s="13" t="s">
        <v>620</v>
      </c>
      <c r="B597" s="14" t="s">
        <v>18</v>
      </c>
      <c r="C597" s="15">
        <v>192.58</v>
      </c>
      <c r="D597" s="13" t="s">
        <v>19</v>
      </c>
      <c r="E597" s="15">
        <v>179.98</v>
      </c>
      <c r="F597" s="15">
        <v>4.0</v>
      </c>
      <c r="G597" s="15">
        <v>2.0</v>
      </c>
      <c r="H597" s="15">
        <v>0.0</v>
      </c>
      <c r="I597" s="16">
        <v>1.0622325737388</v>
      </c>
      <c r="J597" s="17">
        <f>IFERROR(__xludf.DUMMYFUNCTION("INDEX(GOOGLEFINANCE(A597, ""open"", $J$1, $J$1), 2, 2)"),185.66)</f>
        <v>185.66</v>
      </c>
      <c r="K597" s="17">
        <f>IFERROR(__xludf.DUMMYFUNCTION("INDEX(GOOGLEFINANCE(A597, ""close"", $K$1, $K$1), 2, 2)"),186.48)</f>
        <v>186.48</v>
      </c>
      <c r="L597" s="8">
        <f t="shared" si="1"/>
        <v>0.4416675644</v>
      </c>
      <c r="M597" s="18">
        <f t="shared" si="2"/>
        <v>4.416675644</v>
      </c>
      <c r="N597" s="18" t="str">
        <f t="shared" si="3"/>
        <v>Put Spread</v>
      </c>
      <c r="O597" s="18" t="str">
        <f t="shared" si="4"/>
        <v>Success</v>
      </c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</row>
    <row r="598">
      <c r="A598" s="13" t="s">
        <v>621</v>
      </c>
      <c r="B598" s="14" t="s">
        <v>18</v>
      </c>
      <c r="C598" s="15">
        <v>63.3</v>
      </c>
      <c r="D598" s="13" t="s">
        <v>19</v>
      </c>
      <c r="E598" s="15">
        <v>61.5</v>
      </c>
      <c r="F598" s="15">
        <v>2.0</v>
      </c>
      <c r="G598" s="15">
        <v>1.0</v>
      </c>
      <c r="H598" s="15">
        <v>2.0</v>
      </c>
      <c r="I598" s="16">
        <v>5.0</v>
      </c>
      <c r="J598" s="17">
        <f>IFERROR(__xludf.DUMMYFUNCTION("INDEX(GOOGLEFINANCE(A598, ""open"", $J$1, $J$1), 2, 2)"),62.15)</f>
        <v>62.15</v>
      </c>
      <c r="K598" s="17">
        <f>IFERROR(__xludf.DUMMYFUNCTION("INDEX(GOOGLEFINANCE(A598, ""close"", $K$1, $K$1), 2, 2)"),62.43)</f>
        <v>62.43</v>
      </c>
      <c r="L598" s="20">
        <f t="shared" si="1"/>
        <v>0.4505229284</v>
      </c>
      <c r="M598" s="18">
        <f t="shared" si="2"/>
        <v>4.505229284</v>
      </c>
      <c r="N598" s="18" t="str">
        <f t="shared" si="3"/>
        <v>Put Spread</v>
      </c>
      <c r="O598" s="18" t="str">
        <f t="shared" si="4"/>
        <v>Success</v>
      </c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</row>
    <row r="599">
      <c r="A599" s="13" t="s">
        <v>622</v>
      </c>
      <c r="B599" s="14" t="s">
        <v>18</v>
      </c>
      <c r="C599" s="15">
        <v>137.97</v>
      </c>
      <c r="D599" s="13" t="s">
        <v>19</v>
      </c>
      <c r="E599" s="15">
        <v>125.07</v>
      </c>
      <c r="F599" s="15">
        <v>5.0</v>
      </c>
      <c r="G599" s="15">
        <v>3.0</v>
      </c>
      <c r="H599" s="15">
        <v>4.0</v>
      </c>
      <c r="I599" s="16">
        <v>-1.2532295</v>
      </c>
      <c r="J599" s="17">
        <f>IFERROR(__xludf.DUMMYFUNCTION("INDEX(GOOGLEFINANCE(A599, ""open"", $J$1, $J$1), 2, 2)"),131.35)</f>
        <v>131.35</v>
      </c>
      <c r="K599" s="17">
        <f>IFERROR(__xludf.DUMMYFUNCTION("INDEX(GOOGLEFINANCE(A599, ""close"", $K$1, $K$1), 2, 2)"),131.95)</f>
        <v>131.95</v>
      </c>
      <c r="L599" s="8">
        <f t="shared" si="1"/>
        <v>0.456794823</v>
      </c>
      <c r="M599" s="18">
        <f t="shared" si="2"/>
        <v>4.56794823</v>
      </c>
      <c r="N599" s="18" t="str">
        <f t="shared" si="3"/>
        <v>Put Spread</v>
      </c>
      <c r="O599" s="18" t="str">
        <f t="shared" si="4"/>
        <v>Success</v>
      </c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</row>
    <row r="600">
      <c r="A600" s="13" t="s">
        <v>623</v>
      </c>
      <c r="B600" s="26" t="s">
        <v>47</v>
      </c>
      <c r="C600" s="15">
        <v>16.54</v>
      </c>
      <c r="D600" s="13" t="s">
        <v>48</v>
      </c>
      <c r="E600" s="15">
        <v>17.62</v>
      </c>
      <c r="F600" s="15">
        <v>0.0</v>
      </c>
      <c r="G600" s="15">
        <v>0.0</v>
      </c>
      <c r="H600" s="15">
        <v>3.0</v>
      </c>
      <c r="I600" s="16">
        <v>-2.7032264</v>
      </c>
      <c r="J600" s="17">
        <f>IFERROR(__xludf.DUMMYFUNCTION("INDEX(GOOGLEFINANCE(A600, ""open"", $J$1, $J$1), 2, 2)"),17.14)</f>
        <v>17.14</v>
      </c>
      <c r="K600" s="17">
        <f>IFERROR(__xludf.DUMMYFUNCTION("INDEX(GOOGLEFINANCE(A600, ""close"", $K$1, $K$1), 2, 2)"),17.06)</f>
        <v>17.06</v>
      </c>
      <c r="L600" s="8">
        <f t="shared" si="1"/>
        <v>0.4667444574</v>
      </c>
      <c r="M600" s="18">
        <f t="shared" si="2"/>
        <v>4.667444574</v>
      </c>
      <c r="N600" s="18" t="str">
        <f t="shared" si="3"/>
        <v>Call Spread</v>
      </c>
      <c r="O600" s="18" t="str">
        <f t="shared" si="4"/>
        <v>Success</v>
      </c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</row>
    <row r="601">
      <c r="A601" s="13" t="s">
        <v>624</v>
      </c>
      <c r="B601" s="14" t="s">
        <v>18</v>
      </c>
      <c r="C601" s="15">
        <v>71.14</v>
      </c>
      <c r="D601" s="13" t="s">
        <v>19</v>
      </c>
      <c r="E601" s="15">
        <v>66.24</v>
      </c>
      <c r="F601" s="15">
        <v>3.0</v>
      </c>
      <c r="G601" s="15">
        <v>3.0</v>
      </c>
      <c r="H601" s="15">
        <v>4.0</v>
      </c>
      <c r="I601" s="16">
        <v>0.0</v>
      </c>
      <c r="J601" s="17">
        <f>IFERROR(__xludf.DUMMYFUNCTION("INDEX(GOOGLEFINANCE(A601, ""open"", $J$1, $J$1), 2, 2)"),67.75)</f>
        <v>67.75</v>
      </c>
      <c r="K601" s="17">
        <f>IFERROR(__xludf.DUMMYFUNCTION("INDEX(GOOGLEFINANCE(A601, ""close"", $K$1, $K$1), 2, 2)"),67.11)</f>
        <v>67.11</v>
      </c>
      <c r="L601" s="8">
        <f t="shared" si="1"/>
        <v>-0.9446494465</v>
      </c>
      <c r="M601" s="18">
        <f t="shared" si="2"/>
        <v>-9.446494465</v>
      </c>
      <c r="N601" s="18" t="str">
        <f t="shared" si="3"/>
        <v>Put Spread</v>
      </c>
      <c r="O601" s="18" t="str">
        <f t="shared" si="4"/>
        <v>Success</v>
      </c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</row>
    <row r="602">
      <c r="A602" s="13" t="s">
        <v>625</v>
      </c>
      <c r="B602" s="26" t="s">
        <v>47</v>
      </c>
      <c r="C602" s="15">
        <v>262.55</v>
      </c>
      <c r="D602" s="13" t="s">
        <v>48</v>
      </c>
      <c r="E602" s="15">
        <v>275.75</v>
      </c>
      <c r="F602" s="15">
        <v>0.0</v>
      </c>
      <c r="G602" s="15">
        <v>1.0</v>
      </c>
      <c r="H602" s="15">
        <v>1.0</v>
      </c>
      <c r="I602" s="16">
        <v>1.0209560637174</v>
      </c>
      <c r="J602" s="17">
        <f>IFERROR(__xludf.DUMMYFUNCTION("INDEX(GOOGLEFINANCE(A602, ""open"", $J$1, $J$1), 2, 2)"),268.77)</f>
        <v>268.77</v>
      </c>
      <c r="K602" s="17">
        <f>IFERROR(__xludf.DUMMYFUNCTION("INDEX(GOOGLEFINANCE(A602, ""close"", $K$1, $K$1), 2, 2)"),267.4)</f>
        <v>267.4</v>
      </c>
      <c r="L602" s="20">
        <f t="shared" si="1"/>
        <v>0.5097295085</v>
      </c>
      <c r="M602" s="18">
        <f t="shared" si="2"/>
        <v>5.097295085</v>
      </c>
      <c r="N602" s="18" t="str">
        <f t="shared" si="3"/>
        <v>Call Spread</v>
      </c>
      <c r="O602" s="18" t="str">
        <f t="shared" si="4"/>
        <v>Success</v>
      </c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</row>
    <row r="603">
      <c r="A603" s="13" t="s">
        <v>626</v>
      </c>
      <c r="B603" s="14" t="s">
        <v>18</v>
      </c>
      <c r="C603" s="15">
        <v>104.35</v>
      </c>
      <c r="D603" s="13" t="s">
        <v>19</v>
      </c>
      <c r="E603" s="15">
        <v>102.89</v>
      </c>
      <c r="F603" s="15">
        <v>4.0</v>
      </c>
      <c r="G603" s="15">
        <v>2.0</v>
      </c>
      <c r="H603" s="15">
        <v>0.0</v>
      </c>
      <c r="I603" s="16">
        <v>0.0</v>
      </c>
      <c r="J603" s="17">
        <f>IFERROR(__xludf.DUMMYFUNCTION("INDEX(GOOGLEFINANCE(A603, ""open"", $J$1, $J$1), 2, 2)"),103.57)</f>
        <v>103.57</v>
      </c>
      <c r="K603" s="17">
        <f>IFERROR(__xludf.DUMMYFUNCTION("INDEX(GOOGLEFINANCE(A603, ""close"", $K$1, $K$1), 2, 2)"),104.11)</f>
        <v>104.11</v>
      </c>
      <c r="L603" s="8">
        <f t="shared" si="1"/>
        <v>0.5213865019</v>
      </c>
      <c r="M603" s="18">
        <f t="shared" si="2"/>
        <v>5.213865019</v>
      </c>
      <c r="N603" s="18" t="str">
        <f t="shared" si="3"/>
        <v>Put Spread</v>
      </c>
      <c r="O603" s="18" t="str">
        <f t="shared" si="4"/>
        <v>Success</v>
      </c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</row>
    <row r="604">
      <c r="A604" s="13" t="s">
        <v>627</v>
      </c>
      <c r="B604" s="14" t="s">
        <v>18</v>
      </c>
      <c r="C604" s="15">
        <v>121.51</v>
      </c>
      <c r="D604" s="13" t="s">
        <v>19</v>
      </c>
      <c r="E604" s="15">
        <v>111.19</v>
      </c>
      <c r="F604" s="15">
        <v>5.0</v>
      </c>
      <c r="G604" s="15">
        <v>2.0</v>
      </c>
      <c r="H604" s="15">
        <v>4.0</v>
      </c>
      <c r="I604" s="16">
        <v>0.0</v>
      </c>
      <c r="J604" s="17">
        <f>IFERROR(__xludf.DUMMYFUNCTION("INDEX(GOOGLEFINANCE(A604, ""open"", $J$1, $J$1), 2, 2)"),116.14)</f>
        <v>116.14</v>
      </c>
      <c r="K604" s="17">
        <f>IFERROR(__xludf.DUMMYFUNCTION("INDEX(GOOGLEFINANCE(A604, ""close"", $K$1, $K$1), 2, 2)"),116.75)</f>
        <v>116.75</v>
      </c>
      <c r="L604" s="8">
        <f t="shared" si="1"/>
        <v>0.5252281729</v>
      </c>
      <c r="M604" s="18">
        <f t="shared" si="2"/>
        <v>5.252281729</v>
      </c>
      <c r="N604" s="18" t="str">
        <f t="shared" si="3"/>
        <v>Put Spread</v>
      </c>
      <c r="O604" s="18" t="str">
        <f t="shared" si="4"/>
        <v>Success</v>
      </c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</row>
    <row r="605">
      <c r="A605" s="13" t="s">
        <v>628</v>
      </c>
      <c r="B605" s="26" t="s">
        <v>47</v>
      </c>
      <c r="C605" s="15">
        <v>96.63</v>
      </c>
      <c r="D605" s="13" t="s">
        <v>48</v>
      </c>
      <c r="E605" s="15">
        <v>104.23</v>
      </c>
      <c r="F605" s="15">
        <v>2.0</v>
      </c>
      <c r="G605" s="15">
        <v>2.0</v>
      </c>
      <c r="H605" s="15">
        <v>4.0</v>
      </c>
      <c r="I605" s="16">
        <v>0.0</v>
      </c>
      <c r="J605" s="17">
        <f>IFERROR(__xludf.DUMMYFUNCTION("INDEX(GOOGLEFINANCE(A605, ""open"", $J$1, $J$1), 2, 2)"),100.54)</f>
        <v>100.54</v>
      </c>
      <c r="K605" s="17">
        <f>IFERROR(__xludf.DUMMYFUNCTION("INDEX(GOOGLEFINANCE(A605, ""close"", $K$1, $K$1), 2, 2)"),100.01)</f>
        <v>100.01</v>
      </c>
      <c r="L605" s="8">
        <f t="shared" si="1"/>
        <v>0.5271533718</v>
      </c>
      <c r="M605" s="18">
        <f t="shared" si="2"/>
        <v>5.271533718</v>
      </c>
      <c r="N605" s="18" t="str">
        <f t="shared" si="3"/>
        <v>Call Spread</v>
      </c>
      <c r="O605" s="18" t="str">
        <f t="shared" si="4"/>
        <v>Success</v>
      </c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</row>
    <row r="606">
      <c r="A606" s="13" t="s">
        <v>629</v>
      </c>
      <c r="B606" s="14" t="s">
        <v>18</v>
      </c>
      <c r="C606" s="15">
        <v>57.19</v>
      </c>
      <c r="D606" s="13" t="s">
        <v>19</v>
      </c>
      <c r="E606" s="15">
        <v>45.55</v>
      </c>
      <c r="F606" s="15">
        <v>3.0</v>
      </c>
      <c r="G606" s="15">
        <v>1.0</v>
      </c>
      <c r="H606" s="15">
        <v>4.0</v>
      </c>
      <c r="I606" s="16">
        <v>0.0</v>
      </c>
      <c r="J606" s="17">
        <f>IFERROR(__xludf.DUMMYFUNCTION("INDEX(GOOGLEFINANCE(A606, ""open"", $J$1, $J$1), 2, 2)"),51.69)</f>
        <v>51.69</v>
      </c>
      <c r="K606" s="17">
        <f>IFERROR(__xludf.DUMMYFUNCTION("INDEX(GOOGLEFINANCE(A606, ""close"", $K$1, $K$1), 2, 2)"),52.0)</f>
        <v>52</v>
      </c>
      <c r="L606" s="8">
        <f t="shared" si="1"/>
        <v>0.5997291546</v>
      </c>
      <c r="M606" s="18">
        <f t="shared" si="2"/>
        <v>5.997291546</v>
      </c>
      <c r="N606" s="18" t="str">
        <f t="shared" si="3"/>
        <v>Put Spread</v>
      </c>
      <c r="O606" s="18" t="str">
        <f t="shared" si="4"/>
        <v>Success</v>
      </c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</row>
    <row r="607">
      <c r="A607" s="13" t="s">
        <v>630</v>
      </c>
      <c r="B607" s="14" t="s">
        <v>18</v>
      </c>
      <c r="C607" s="15">
        <v>3.41</v>
      </c>
      <c r="D607" s="13" t="s">
        <v>19</v>
      </c>
      <c r="E607" s="15">
        <v>3.03</v>
      </c>
      <c r="F607" s="15">
        <v>3.0</v>
      </c>
      <c r="G607" s="15">
        <v>2.0</v>
      </c>
      <c r="H607" s="15">
        <v>2.0</v>
      </c>
      <c r="I607" s="16">
        <v>0.26782342685619</v>
      </c>
      <c r="J607" s="17">
        <f>IFERROR(__xludf.DUMMYFUNCTION("INDEX(GOOGLEFINANCE(A607, ""open"", $J$1, $J$1), 2, 2)"),3.25)</f>
        <v>3.25</v>
      </c>
      <c r="K607" s="17">
        <f>IFERROR(__xludf.DUMMYFUNCTION("INDEX(GOOGLEFINANCE(A607, ""close"", $K$1, $K$1), 2, 2)"),3.28)</f>
        <v>3.28</v>
      </c>
      <c r="L607" s="8">
        <f t="shared" si="1"/>
        <v>0.9230769231</v>
      </c>
      <c r="M607" s="18">
        <f t="shared" si="2"/>
        <v>9.230769231</v>
      </c>
      <c r="N607" s="18" t="str">
        <f t="shared" si="3"/>
        <v>Put Spread</v>
      </c>
      <c r="O607" s="18" t="str">
        <f t="shared" si="4"/>
        <v>Success</v>
      </c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</row>
    <row r="608">
      <c r="A608" s="13" t="s">
        <v>631</v>
      </c>
      <c r="B608" s="14" t="s">
        <v>18</v>
      </c>
      <c r="C608" s="15">
        <v>27.49</v>
      </c>
      <c r="D608" s="13" t="s">
        <v>19</v>
      </c>
      <c r="E608" s="15">
        <v>26.89</v>
      </c>
      <c r="F608" s="15">
        <v>5.0</v>
      </c>
      <c r="G608" s="15">
        <v>2.0</v>
      </c>
      <c r="H608" s="15">
        <v>1.0</v>
      </c>
      <c r="I608" s="16">
        <v>-1.9611322</v>
      </c>
      <c r="J608" s="17">
        <f>IFERROR(__xludf.DUMMYFUNCTION("INDEX(GOOGLEFINANCE(A608, ""open"", $J$1, $J$1), 2, 2)"),27.4)</f>
        <v>27.4</v>
      </c>
      <c r="K608" s="17">
        <f>IFERROR(__xludf.DUMMYFUNCTION("INDEX(GOOGLEFINANCE(A608, ""close"", $K$1, $K$1), 2, 2)"),27.57)</f>
        <v>27.57</v>
      </c>
      <c r="L608" s="8">
        <f t="shared" si="1"/>
        <v>0.6204379562</v>
      </c>
      <c r="M608" s="18">
        <f t="shared" si="2"/>
        <v>6.204379562</v>
      </c>
      <c r="N608" s="18" t="str">
        <f t="shared" si="3"/>
        <v>Put Spread</v>
      </c>
      <c r="O608" s="18" t="str">
        <f t="shared" si="4"/>
        <v>Success</v>
      </c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</row>
    <row r="609">
      <c r="A609" s="13" t="s">
        <v>632</v>
      </c>
      <c r="B609" s="14" t="s">
        <v>18</v>
      </c>
      <c r="C609" s="15">
        <v>3.53</v>
      </c>
      <c r="D609" s="13" t="s">
        <v>19</v>
      </c>
      <c r="E609" s="15">
        <v>2.65</v>
      </c>
      <c r="F609" s="15">
        <v>5.0</v>
      </c>
      <c r="G609" s="15">
        <v>3.0</v>
      </c>
      <c r="H609" s="15">
        <v>4.0</v>
      </c>
      <c r="I609" s="16">
        <v>0.0</v>
      </c>
      <c r="J609" s="17">
        <f>IFERROR(__xludf.DUMMYFUNCTION("INDEX(GOOGLEFINANCE(A609, ""open"", $J$1, $J$1), 2, 2)"),3.06)</f>
        <v>3.06</v>
      </c>
      <c r="K609" s="17">
        <f>IFERROR(__xludf.DUMMYFUNCTION("INDEX(GOOGLEFINANCE(A609, ""close"", $K$1, $K$1), 2, 2)"),3.08)</f>
        <v>3.08</v>
      </c>
      <c r="L609" s="8">
        <f t="shared" si="1"/>
        <v>0.6535947712</v>
      </c>
      <c r="M609" s="18">
        <f t="shared" si="2"/>
        <v>6.535947712</v>
      </c>
      <c r="N609" s="18" t="str">
        <f t="shared" si="3"/>
        <v>Put Spread</v>
      </c>
      <c r="O609" s="18" t="str">
        <f t="shared" si="4"/>
        <v>Success</v>
      </c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</row>
    <row r="610">
      <c r="A610" s="13" t="s">
        <v>633</v>
      </c>
      <c r="B610" s="26" t="s">
        <v>47</v>
      </c>
      <c r="C610" s="15">
        <v>85.52</v>
      </c>
      <c r="D610" s="13" t="s">
        <v>48</v>
      </c>
      <c r="E610" s="15">
        <v>92.26</v>
      </c>
      <c r="F610" s="15">
        <v>0.0</v>
      </c>
      <c r="G610" s="15">
        <v>2.0</v>
      </c>
      <c r="H610" s="15">
        <v>1.0</v>
      </c>
      <c r="I610" s="16">
        <v>1.01411696544662</v>
      </c>
      <c r="J610" s="17">
        <f>IFERROR(__xludf.DUMMYFUNCTION("INDEX(GOOGLEFINANCE(A610, ""open"", $J$1, $J$1), 2, 2)"),88.58)</f>
        <v>88.58</v>
      </c>
      <c r="K610" s="17">
        <f>IFERROR(__xludf.DUMMYFUNCTION("INDEX(GOOGLEFINANCE(A610, ""close"", $K$1, $K$1), 2, 2)"),88.0)</f>
        <v>88</v>
      </c>
      <c r="L610" s="8">
        <f t="shared" si="1"/>
        <v>0.6547753443</v>
      </c>
      <c r="M610" s="18">
        <f t="shared" si="2"/>
        <v>6.547753443</v>
      </c>
      <c r="N610" s="18" t="str">
        <f t="shared" si="3"/>
        <v>Call Spread</v>
      </c>
      <c r="O610" s="18" t="str">
        <f t="shared" si="4"/>
        <v>Success</v>
      </c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</row>
    <row r="611">
      <c r="A611" s="13" t="s">
        <v>634</v>
      </c>
      <c r="B611" s="14" t="s">
        <v>18</v>
      </c>
      <c r="C611" s="15">
        <v>56.26</v>
      </c>
      <c r="D611" s="13" t="s">
        <v>19</v>
      </c>
      <c r="E611" s="15">
        <v>49.64</v>
      </c>
      <c r="F611" s="15">
        <v>5.0</v>
      </c>
      <c r="G611" s="15">
        <v>3.0</v>
      </c>
      <c r="H611" s="15">
        <v>3.0</v>
      </c>
      <c r="I611" s="16">
        <v>0.0</v>
      </c>
      <c r="J611" s="17">
        <f>IFERROR(__xludf.DUMMYFUNCTION("INDEX(GOOGLEFINANCE(A611, ""open"", $J$1, $J$1), 2, 2)"),52.78)</f>
        <v>52.78</v>
      </c>
      <c r="K611" s="17">
        <f>IFERROR(__xludf.DUMMYFUNCTION("INDEX(GOOGLEFINANCE(A611, ""close"", $K$1, $K$1), 2, 2)"),53.13)</f>
        <v>53.13</v>
      </c>
      <c r="L611" s="20">
        <f t="shared" si="1"/>
        <v>0.6631299735</v>
      </c>
      <c r="M611" s="18">
        <f t="shared" si="2"/>
        <v>6.631299735</v>
      </c>
      <c r="N611" s="18" t="str">
        <f t="shared" si="3"/>
        <v>Put Spread</v>
      </c>
      <c r="O611" s="18" t="str">
        <f t="shared" si="4"/>
        <v>Success</v>
      </c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</row>
    <row r="612">
      <c r="A612" s="13" t="s">
        <v>635</v>
      </c>
      <c r="B612" s="14" t="s">
        <v>18</v>
      </c>
      <c r="C612" s="15">
        <v>34.12</v>
      </c>
      <c r="D612" s="13" t="s">
        <v>19</v>
      </c>
      <c r="E612" s="15">
        <v>32.42</v>
      </c>
      <c r="F612" s="15">
        <v>5.0</v>
      </c>
      <c r="G612" s="15">
        <v>1.0</v>
      </c>
      <c r="H612" s="15">
        <v>0.0</v>
      </c>
      <c r="I612" s="16">
        <v>0.0</v>
      </c>
      <c r="J612" s="17">
        <f>IFERROR(__xludf.DUMMYFUNCTION("INDEX(GOOGLEFINANCE(A612, ""open"", $J$1, $J$1), 2, 2)"),33.1)</f>
        <v>33.1</v>
      </c>
      <c r="K612" s="17">
        <f>IFERROR(__xludf.DUMMYFUNCTION("INDEX(GOOGLEFINANCE(A612, ""close"", $K$1, $K$1), 2, 2)"),33.32)</f>
        <v>33.32</v>
      </c>
      <c r="L612" s="8">
        <f t="shared" si="1"/>
        <v>0.664652568</v>
      </c>
      <c r="M612" s="18">
        <f t="shared" si="2"/>
        <v>6.64652568</v>
      </c>
      <c r="N612" s="18" t="str">
        <f t="shared" si="3"/>
        <v>Put Spread</v>
      </c>
      <c r="O612" s="18" t="str">
        <f t="shared" si="4"/>
        <v>Success</v>
      </c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</row>
    <row r="613">
      <c r="A613" s="13" t="s">
        <v>636</v>
      </c>
      <c r="B613" s="26" t="s">
        <v>47</v>
      </c>
      <c r="C613" s="15">
        <v>79.12</v>
      </c>
      <c r="D613" s="13" t="s">
        <v>48</v>
      </c>
      <c r="E613" s="15">
        <v>81.86</v>
      </c>
      <c r="F613" s="15">
        <v>0.0</v>
      </c>
      <c r="G613" s="15">
        <v>2.0</v>
      </c>
      <c r="H613" s="15">
        <v>5.0</v>
      </c>
      <c r="I613" s="16">
        <v>0.0</v>
      </c>
      <c r="J613" s="17">
        <f>IFERROR(__xludf.DUMMYFUNCTION("INDEX(GOOGLEFINANCE(A613, ""open"", $J$1, $J$1), 2, 2)"),80.52)</f>
        <v>80.52</v>
      </c>
      <c r="K613" s="17">
        <f>IFERROR(__xludf.DUMMYFUNCTION("INDEX(GOOGLEFINANCE(A613, ""close"", $K$1, $K$1), 2, 2)"),79.98)</f>
        <v>79.98</v>
      </c>
      <c r="L613" s="20">
        <f t="shared" si="1"/>
        <v>0.6706408346</v>
      </c>
      <c r="M613" s="18">
        <f t="shared" si="2"/>
        <v>6.706408346</v>
      </c>
      <c r="N613" s="18" t="str">
        <f t="shared" si="3"/>
        <v>Call Spread</v>
      </c>
      <c r="O613" s="18" t="str">
        <f t="shared" si="4"/>
        <v>Success</v>
      </c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</row>
    <row r="614">
      <c r="A614" s="13" t="s">
        <v>637</v>
      </c>
      <c r="B614" s="26" t="s">
        <v>47</v>
      </c>
      <c r="C614" s="15">
        <v>93.05</v>
      </c>
      <c r="D614" s="13" t="s">
        <v>48</v>
      </c>
      <c r="E614" s="15">
        <v>95.45</v>
      </c>
      <c r="F614" s="15">
        <v>2.0</v>
      </c>
      <c r="G614" s="15">
        <v>0.0</v>
      </c>
      <c r="H614" s="15">
        <v>5.0</v>
      </c>
      <c r="I614" s="16">
        <v>0.0</v>
      </c>
      <c r="J614" s="17">
        <f>IFERROR(__xludf.DUMMYFUNCTION("INDEX(GOOGLEFINANCE(A614, ""open"", $J$1, $J$1), 2, 2)"),334.25)</f>
        <v>334.25</v>
      </c>
      <c r="K614" s="17">
        <f>IFERROR(__xludf.DUMMYFUNCTION("INDEX(GOOGLEFINANCE(A614, ""close"", $K$1, $K$1), 2, 2)"),332.0)</f>
        <v>332</v>
      </c>
      <c r="L614" s="8">
        <f t="shared" si="1"/>
        <v>0.6731488407</v>
      </c>
      <c r="M614" s="18">
        <f t="shared" si="2"/>
        <v>6.731488407</v>
      </c>
      <c r="N614" s="18" t="str">
        <f t="shared" si="3"/>
        <v>Call Spread</v>
      </c>
      <c r="O614" s="18" t="str">
        <f t="shared" si="4"/>
        <v>No</v>
      </c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</row>
    <row r="615">
      <c r="A615" s="13" t="s">
        <v>638</v>
      </c>
      <c r="B615" s="14" t="s">
        <v>18</v>
      </c>
      <c r="C615" s="15">
        <v>29.27</v>
      </c>
      <c r="D615" s="13" t="s">
        <v>19</v>
      </c>
      <c r="E615" s="15">
        <v>26.57</v>
      </c>
      <c r="F615" s="15">
        <v>5.0</v>
      </c>
      <c r="G615" s="15">
        <v>1.0</v>
      </c>
      <c r="H615" s="15">
        <v>5.0</v>
      </c>
      <c r="I615" s="16">
        <v>2.13185544459331</v>
      </c>
      <c r="J615" s="17">
        <f>IFERROR(__xludf.DUMMYFUNCTION("INDEX(GOOGLEFINANCE(A615, ""open"", $J$1, $J$1), 2, 2)"),27.75)</f>
        <v>27.75</v>
      </c>
      <c r="K615" s="17">
        <f>IFERROR(__xludf.DUMMYFUNCTION("INDEX(GOOGLEFINANCE(A615, ""close"", $K$1, $K$1), 2, 2)"),27.94)</f>
        <v>27.94</v>
      </c>
      <c r="L615" s="8">
        <f t="shared" si="1"/>
        <v>0.6846846847</v>
      </c>
      <c r="M615" s="18">
        <f t="shared" si="2"/>
        <v>6.846846847</v>
      </c>
      <c r="N615" s="18" t="str">
        <f t="shared" si="3"/>
        <v>Put Spread</v>
      </c>
      <c r="O615" s="18" t="str">
        <f t="shared" si="4"/>
        <v>Success</v>
      </c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</row>
    <row r="616">
      <c r="A616" s="13" t="s">
        <v>639</v>
      </c>
      <c r="B616" s="26" t="s">
        <v>47</v>
      </c>
      <c r="C616" s="15">
        <v>150.03</v>
      </c>
      <c r="D616" s="13" t="s">
        <v>48</v>
      </c>
      <c r="E616" s="15">
        <v>164.25</v>
      </c>
      <c r="F616" s="15">
        <v>0.0</v>
      </c>
      <c r="G616" s="15">
        <v>3.0</v>
      </c>
      <c r="H616" s="15">
        <v>2.0</v>
      </c>
      <c r="I616" s="16">
        <v>0.33505346000568</v>
      </c>
      <c r="J616" s="17">
        <f>IFERROR(__xludf.DUMMYFUNCTION("INDEX(GOOGLEFINANCE(A616, ""open"", $J$1, $J$1), 2, 2)"),157.11)</f>
        <v>157.11</v>
      </c>
      <c r="K616" s="17">
        <f>IFERROR(__xludf.DUMMYFUNCTION("INDEX(GOOGLEFINANCE(A616, ""close"", $K$1, $K$1), 2, 2)"),156.0)</f>
        <v>156</v>
      </c>
      <c r="L616" s="8">
        <f t="shared" si="1"/>
        <v>0.7065113615</v>
      </c>
      <c r="M616" s="18">
        <f t="shared" si="2"/>
        <v>7.065113615</v>
      </c>
      <c r="N616" s="18" t="str">
        <f t="shared" si="3"/>
        <v>Call Spread</v>
      </c>
      <c r="O616" s="18" t="str">
        <f t="shared" si="4"/>
        <v>Success</v>
      </c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</row>
    <row r="617">
      <c r="A617" s="13" t="s">
        <v>640</v>
      </c>
      <c r="B617" s="14" t="s">
        <v>18</v>
      </c>
      <c r="C617" s="15">
        <v>96.24</v>
      </c>
      <c r="D617" s="13" t="s">
        <v>19</v>
      </c>
      <c r="E617" s="15">
        <v>84.56</v>
      </c>
      <c r="F617" s="15">
        <v>5.0</v>
      </c>
      <c r="G617" s="15">
        <v>3.0</v>
      </c>
      <c r="H617" s="15">
        <v>4.0</v>
      </c>
      <c r="I617" s="16">
        <v>0.0</v>
      </c>
      <c r="J617" s="17">
        <f>IFERROR(__xludf.DUMMYFUNCTION("INDEX(GOOGLEFINANCE(A617, ""open"", $J$1, $J$1), 2, 2)"),90.38)</f>
        <v>90.38</v>
      </c>
      <c r="K617" s="17">
        <f>IFERROR(__xludf.DUMMYFUNCTION("INDEX(GOOGLEFINANCE(A617, ""close"", $K$1, $K$1), 2, 2)"),91.04)</f>
        <v>91.04</v>
      </c>
      <c r="L617" s="8">
        <f t="shared" si="1"/>
        <v>0.7302500553</v>
      </c>
      <c r="M617" s="18">
        <f t="shared" si="2"/>
        <v>7.302500553</v>
      </c>
      <c r="N617" s="18" t="str">
        <f t="shared" si="3"/>
        <v>Put Spread</v>
      </c>
      <c r="O617" s="18" t="str">
        <f t="shared" si="4"/>
        <v>Success</v>
      </c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</row>
    <row r="618">
      <c r="A618" s="13" t="s">
        <v>641</v>
      </c>
      <c r="B618" s="14" t="s">
        <v>18</v>
      </c>
      <c r="C618" s="15">
        <v>287.81</v>
      </c>
      <c r="D618" s="13" t="s">
        <v>19</v>
      </c>
      <c r="E618" s="15">
        <v>271.29</v>
      </c>
      <c r="F618" s="15">
        <v>3.0</v>
      </c>
      <c r="G618" s="15">
        <v>2.0</v>
      </c>
      <c r="H618" s="15">
        <v>5.0</v>
      </c>
      <c r="I618" s="16">
        <v>0.0</v>
      </c>
      <c r="J618" s="17">
        <f>IFERROR(__xludf.DUMMYFUNCTION("INDEX(GOOGLEFINANCE(A618, ""open"", $J$1, $J$1), 2, 2)"),278.7)</f>
        <v>278.7</v>
      </c>
      <c r="K618" s="17">
        <f>IFERROR(__xludf.DUMMYFUNCTION("INDEX(GOOGLEFINANCE(A618, ""close"", $K$1, $K$1), 2, 2)"),280.76)</f>
        <v>280.76</v>
      </c>
      <c r="L618" s="8">
        <f t="shared" si="1"/>
        <v>0.7391460352</v>
      </c>
      <c r="M618" s="18">
        <f t="shared" si="2"/>
        <v>7.391460352</v>
      </c>
      <c r="N618" s="18" t="str">
        <f t="shared" si="3"/>
        <v>Put Spread</v>
      </c>
      <c r="O618" s="18" t="str">
        <f t="shared" si="4"/>
        <v>Success</v>
      </c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</row>
    <row r="619">
      <c r="A619" s="13" t="s">
        <v>642</v>
      </c>
      <c r="B619" s="14" t="s">
        <v>18</v>
      </c>
      <c r="C619" s="15">
        <v>73.69</v>
      </c>
      <c r="D619" s="13" t="s">
        <v>19</v>
      </c>
      <c r="E619" s="15">
        <v>72.55</v>
      </c>
      <c r="F619" s="15">
        <v>4.0</v>
      </c>
      <c r="G619" s="15">
        <v>2.0</v>
      </c>
      <c r="H619" s="15">
        <v>4.0</v>
      </c>
      <c r="I619" s="16">
        <v>1.11556606644962</v>
      </c>
      <c r="J619" s="17">
        <f>IFERROR(__xludf.DUMMYFUNCTION("INDEX(GOOGLEFINANCE(A619, ""open"", $J$1, $J$1), 2, 2)"),73.02)</f>
        <v>73.02</v>
      </c>
      <c r="K619" s="17">
        <f>IFERROR(__xludf.DUMMYFUNCTION("INDEX(GOOGLEFINANCE(A619, ""close"", $K$1, $K$1), 2, 2)"),73.59)</f>
        <v>73.59</v>
      </c>
      <c r="L619" s="8">
        <f t="shared" si="1"/>
        <v>0.7806080526</v>
      </c>
      <c r="M619" s="18">
        <f t="shared" si="2"/>
        <v>7.806080526</v>
      </c>
      <c r="N619" s="18" t="str">
        <f t="shared" si="3"/>
        <v>Put Spread</v>
      </c>
      <c r="O619" s="18" t="str">
        <f t="shared" si="4"/>
        <v>Success</v>
      </c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</row>
    <row r="620">
      <c r="A620" s="13" t="s">
        <v>643</v>
      </c>
      <c r="B620" s="14" t="s">
        <v>18</v>
      </c>
      <c r="C620" s="15">
        <v>99.1</v>
      </c>
      <c r="D620" s="13" t="s">
        <v>19</v>
      </c>
      <c r="E620" s="15">
        <v>97.8</v>
      </c>
      <c r="F620" s="15">
        <v>2.0</v>
      </c>
      <c r="G620" s="15">
        <v>2.0</v>
      </c>
      <c r="H620" s="15">
        <v>4.0</v>
      </c>
      <c r="I620" s="16">
        <v>1.44524648841988</v>
      </c>
      <c r="J620" s="17">
        <f>IFERROR(__xludf.DUMMYFUNCTION("INDEX(GOOGLEFINANCE(A620, ""open"", $J$1, $J$1), 2, 2)"),98.36)</f>
        <v>98.36</v>
      </c>
      <c r="K620" s="17">
        <f>IFERROR(__xludf.DUMMYFUNCTION("INDEX(GOOGLEFINANCE(A620, ""close"", $K$1, $K$1), 2, 2)"),99.14)</f>
        <v>99.14</v>
      </c>
      <c r="L620" s="8">
        <f t="shared" si="1"/>
        <v>0.7930052867</v>
      </c>
      <c r="M620" s="18">
        <f t="shared" si="2"/>
        <v>7.930052867</v>
      </c>
      <c r="N620" s="18" t="str">
        <f t="shared" si="3"/>
        <v>Put Spread</v>
      </c>
      <c r="O620" s="18" t="str">
        <f t="shared" si="4"/>
        <v>Success</v>
      </c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</row>
    <row r="621">
      <c r="A621" s="13" t="s">
        <v>644</v>
      </c>
      <c r="B621" s="14" t="s">
        <v>18</v>
      </c>
      <c r="C621" s="15">
        <v>14.94</v>
      </c>
      <c r="D621" s="13" t="s">
        <v>19</v>
      </c>
      <c r="E621" s="15">
        <v>13.22</v>
      </c>
      <c r="F621" s="15">
        <v>5.0</v>
      </c>
      <c r="G621" s="15">
        <v>2.0</v>
      </c>
      <c r="H621" s="15">
        <v>3.0</v>
      </c>
      <c r="I621" s="16">
        <v>0.0</v>
      </c>
      <c r="J621" s="17">
        <f>IFERROR(__xludf.DUMMYFUNCTION("INDEX(GOOGLEFINANCE(A621, ""open"", $J$1, $J$1), 2, 2)"),14.0)</f>
        <v>14</v>
      </c>
      <c r="K621" s="17">
        <f>IFERROR(__xludf.DUMMYFUNCTION("INDEX(GOOGLEFINANCE(A621, ""close"", $K$1, $K$1), 2, 2)"),14.12)</f>
        <v>14.12</v>
      </c>
      <c r="L621" s="8">
        <f t="shared" si="1"/>
        <v>0.8571428571</v>
      </c>
      <c r="M621" s="18">
        <f t="shared" si="2"/>
        <v>8.571428571</v>
      </c>
      <c r="N621" s="18" t="str">
        <f t="shared" si="3"/>
        <v>Put Spread</v>
      </c>
      <c r="O621" s="18" t="str">
        <f t="shared" si="4"/>
        <v>Success</v>
      </c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</row>
    <row r="622">
      <c r="A622" s="13" t="s">
        <v>645</v>
      </c>
      <c r="B622" s="14" t="s">
        <v>18</v>
      </c>
      <c r="C622" s="15">
        <v>112.02</v>
      </c>
      <c r="D622" s="13" t="s">
        <v>19</v>
      </c>
      <c r="E622" s="15">
        <v>107.02</v>
      </c>
      <c r="F622" s="15">
        <v>5.0</v>
      </c>
      <c r="G622" s="15">
        <v>1.0</v>
      </c>
      <c r="H622" s="15">
        <v>5.0</v>
      </c>
      <c r="I622" s="16">
        <v>0.0</v>
      </c>
      <c r="J622" s="17">
        <f>IFERROR(__xludf.DUMMYFUNCTION("INDEX(GOOGLEFINANCE(A622, ""open"", $J$1, $J$1), 2, 2)"),109.29)</f>
        <v>109.29</v>
      </c>
      <c r="K622" s="17">
        <f>IFERROR(__xludf.DUMMYFUNCTION("INDEX(GOOGLEFINANCE(A622, ""close"", $K$1, $K$1), 2, 2)"),110.24)</f>
        <v>110.24</v>
      </c>
      <c r="L622" s="8">
        <f t="shared" si="1"/>
        <v>0.8692469576</v>
      </c>
      <c r="M622" s="18">
        <f t="shared" si="2"/>
        <v>8.692469576</v>
      </c>
      <c r="N622" s="18" t="str">
        <f t="shared" si="3"/>
        <v>Put Spread</v>
      </c>
      <c r="O622" s="18" t="str">
        <f t="shared" si="4"/>
        <v>Success</v>
      </c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</row>
    <row r="623">
      <c r="A623" s="13" t="s">
        <v>646</v>
      </c>
      <c r="B623" s="14" t="s">
        <v>18</v>
      </c>
      <c r="C623" s="15">
        <v>314.21</v>
      </c>
      <c r="D623" s="13" t="s">
        <v>19</v>
      </c>
      <c r="E623" s="15">
        <v>300.59</v>
      </c>
      <c r="F623" s="15">
        <v>3.0</v>
      </c>
      <c r="G623" s="15">
        <v>2.0</v>
      </c>
      <c r="H623" s="15">
        <v>2.0</v>
      </c>
      <c r="I623" s="16">
        <v>0.0</v>
      </c>
      <c r="J623" s="17">
        <f>IFERROR(__xludf.DUMMYFUNCTION("INDEX(GOOGLEFINANCE(A623, ""open"", $J$1, $J$1), 2, 2)"),306.44)</f>
        <v>306.44</v>
      </c>
      <c r="K623" s="17">
        <f>IFERROR(__xludf.DUMMYFUNCTION("INDEX(GOOGLEFINANCE(A623, ""close"", $K$1, $K$1), 2, 2)"),309.11)</f>
        <v>309.11</v>
      </c>
      <c r="L623" s="8">
        <f t="shared" si="1"/>
        <v>0.8712961754</v>
      </c>
      <c r="M623" s="18">
        <f t="shared" si="2"/>
        <v>8.712961754</v>
      </c>
      <c r="N623" s="18" t="str">
        <f t="shared" si="3"/>
        <v>Put Spread</v>
      </c>
      <c r="O623" s="18" t="str">
        <f t="shared" si="4"/>
        <v>Success</v>
      </c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</row>
    <row r="624">
      <c r="A624" s="13" t="s">
        <v>647</v>
      </c>
      <c r="B624" s="14" t="s">
        <v>18</v>
      </c>
      <c r="C624" s="15">
        <v>129.89</v>
      </c>
      <c r="D624" s="13" t="s">
        <v>19</v>
      </c>
      <c r="E624" s="15">
        <v>123.19</v>
      </c>
      <c r="F624" s="15">
        <v>2.0</v>
      </c>
      <c r="G624" s="15">
        <v>1.0</v>
      </c>
      <c r="H624" s="15">
        <v>1.0</v>
      </c>
      <c r="I624" s="16">
        <v>0.0</v>
      </c>
      <c r="J624" s="17">
        <f>IFERROR(__xludf.DUMMYFUNCTION("INDEX(GOOGLEFINANCE(A624, ""open"", $J$1, $J$1), 2, 2)"),126.15)</f>
        <v>126.15</v>
      </c>
      <c r="K624" s="17">
        <f>IFERROR(__xludf.DUMMYFUNCTION("INDEX(GOOGLEFINANCE(A624, ""close"", $K$1, $K$1), 2, 2)"),127.29)</f>
        <v>127.29</v>
      </c>
      <c r="L624" s="8">
        <f t="shared" si="1"/>
        <v>0.903686088</v>
      </c>
      <c r="M624" s="18">
        <f t="shared" si="2"/>
        <v>9.03686088</v>
      </c>
      <c r="N624" s="18" t="str">
        <f t="shared" si="3"/>
        <v>Put Spread</v>
      </c>
      <c r="O624" s="18" t="str">
        <f t="shared" si="4"/>
        <v>Success</v>
      </c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</row>
    <row r="625">
      <c r="A625" s="13" t="s">
        <v>648</v>
      </c>
      <c r="B625" s="14" t="s">
        <v>18</v>
      </c>
      <c r="C625" s="15">
        <v>64.33</v>
      </c>
      <c r="D625" s="13" t="s">
        <v>19</v>
      </c>
      <c r="E625" s="15">
        <v>61.49</v>
      </c>
      <c r="F625" s="15">
        <v>2.0</v>
      </c>
      <c r="G625" s="15">
        <v>2.0</v>
      </c>
      <c r="H625" s="15">
        <v>2.0</v>
      </c>
      <c r="I625" s="16">
        <v>0.0</v>
      </c>
      <c r="J625" s="17">
        <f>IFERROR(__xludf.DUMMYFUNCTION("INDEX(GOOGLEFINANCE(A625, ""open"", $J$1, $J$1), 2, 2)"),62.72)</f>
        <v>62.72</v>
      </c>
      <c r="K625" s="17">
        <f>IFERROR(__xludf.DUMMYFUNCTION("INDEX(GOOGLEFINANCE(A625, ""close"", $K$1, $K$1), 2, 2)"),63.29)</f>
        <v>63.29</v>
      </c>
      <c r="L625" s="20">
        <f t="shared" si="1"/>
        <v>0.9088010204</v>
      </c>
      <c r="M625" s="18">
        <f t="shared" si="2"/>
        <v>9.088010204</v>
      </c>
      <c r="N625" s="18" t="str">
        <f t="shared" si="3"/>
        <v>Put Spread</v>
      </c>
      <c r="O625" s="18" t="str">
        <f t="shared" si="4"/>
        <v>Success</v>
      </c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</row>
    <row r="626">
      <c r="A626" s="13" t="s">
        <v>649</v>
      </c>
      <c r="B626" s="14" t="s">
        <v>18</v>
      </c>
      <c r="C626" s="15">
        <v>120.64</v>
      </c>
      <c r="D626" s="13" t="s">
        <v>19</v>
      </c>
      <c r="E626" s="15">
        <v>110.02</v>
      </c>
      <c r="F626" s="15">
        <v>5.0</v>
      </c>
      <c r="G626" s="15">
        <v>1.0</v>
      </c>
      <c r="H626" s="15">
        <v>4.0</v>
      </c>
      <c r="I626" s="16">
        <v>-1.2065766</v>
      </c>
      <c r="J626" s="17">
        <f>IFERROR(__xludf.DUMMYFUNCTION("INDEX(GOOGLEFINANCE(A626, ""open"", $J$1, $J$1), 2, 2)"),114.93)</f>
        <v>114.93</v>
      </c>
      <c r="K626" s="17">
        <f>IFERROR(__xludf.DUMMYFUNCTION("INDEX(GOOGLEFINANCE(A626, ""close"", $K$1, $K$1), 2, 2)"),115.98)</f>
        <v>115.98</v>
      </c>
      <c r="L626" s="8">
        <f t="shared" si="1"/>
        <v>0.9135995824</v>
      </c>
      <c r="M626" s="18">
        <f t="shared" si="2"/>
        <v>9.135995824</v>
      </c>
      <c r="N626" s="18" t="str">
        <f t="shared" si="3"/>
        <v>Put Spread</v>
      </c>
      <c r="O626" s="18" t="str">
        <f t="shared" si="4"/>
        <v>Success</v>
      </c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</row>
    <row r="627">
      <c r="A627" s="13" t="s">
        <v>650</v>
      </c>
      <c r="B627" s="26" t="s">
        <v>47</v>
      </c>
      <c r="C627" s="15">
        <v>44.73</v>
      </c>
      <c r="D627" s="13" t="s">
        <v>48</v>
      </c>
      <c r="E627" s="15">
        <v>47.27</v>
      </c>
      <c r="F627" s="15">
        <v>3.0</v>
      </c>
      <c r="G627" s="15">
        <v>3.0</v>
      </c>
      <c r="H627" s="15">
        <v>5.0</v>
      </c>
      <c r="I627" s="16">
        <v>0.0</v>
      </c>
      <c r="J627" s="17">
        <f>IFERROR(__xludf.DUMMYFUNCTION("INDEX(GOOGLEFINANCE(A627, ""open"", $J$1, $J$1), 2, 2)"),45.56)</f>
        <v>45.56</v>
      </c>
      <c r="K627" s="17">
        <f>IFERROR(__xludf.DUMMYFUNCTION("INDEX(GOOGLEFINANCE(A627, ""close"", $K$1, $K$1), 2, 2)"),45.14)</f>
        <v>45.14</v>
      </c>
      <c r="L627" s="8">
        <f t="shared" si="1"/>
        <v>0.9218612818</v>
      </c>
      <c r="M627" s="18">
        <f t="shared" si="2"/>
        <v>9.218612818</v>
      </c>
      <c r="N627" s="18" t="str">
        <f t="shared" si="3"/>
        <v>Call Spread</v>
      </c>
      <c r="O627" s="18" t="str">
        <f t="shared" si="4"/>
        <v>Success</v>
      </c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</row>
    <row r="628">
      <c r="A628" s="13" t="s">
        <v>651</v>
      </c>
      <c r="B628" s="26" t="s">
        <v>47</v>
      </c>
      <c r="C628" s="15">
        <v>95.63</v>
      </c>
      <c r="D628" s="13" t="s">
        <v>48</v>
      </c>
      <c r="E628" s="15">
        <v>98.45</v>
      </c>
      <c r="F628" s="15">
        <v>0.0</v>
      </c>
      <c r="G628" s="15">
        <v>2.0</v>
      </c>
      <c r="H628" s="15">
        <v>5.0</v>
      </c>
      <c r="I628" s="16">
        <v>0.0</v>
      </c>
      <c r="J628" s="17">
        <f>IFERROR(__xludf.DUMMYFUNCTION("INDEX(GOOGLEFINANCE(A628, ""open"", $J$1, $J$1), 2, 2)"),97.25)</f>
        <v>97.25</v>
      </c>
      <c r="K628" s="17">
        <f>IFERROR(__xludf.DUMMYFUNCTION("INDEX(GOOGLEFINANCE(A628, ""close"", $K$1, $K$1), 2, 2)"),96.35)</f>
        <v>96.35</v>
      </c>
      <c r="L628" s="8">
        <f t="shared" si="1"/>
        <v>0.9254498715</v>
      </c>
      <c r="M628" s="18">
        <f t="shared" si="2"/>
        <v>9.254498715</v>
      </c>
      <c r="N628" s="18" t="str">
        <f t="shared" si="3"/>
        <v>Call Spread</v>
      </c>
      <c r="O628" s="18" t="str">
        <f t="shared" si="4"/>
        <v>Success</v>
      </c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</row>
    <row r="629">
      <c r="A629" s="13" t="s">
        <v>652</v>
      </c>
      <c r="B629" s="14" t="s">
        <v>18</v>
      </c>
      <c r="C629" s="15">
        <v>23.23</v>
      </c>
      <c r="D629" s="13" t="s">
        <v>19</v>
      </c>
      <c r="E629" s="15">
        <v>22.34</v>
      </c>
      <c r="F629" s="15">
        <v>3.0</v>
      </c>
      <c r="G629" s="15">
        <v>2.0</v>
      </c>
      <c r="H629" s="15">
        <v>3.0</v>
      </c>
      <c r="I629" s="16">
        <v>0.0</v>
      </c>
      <c r="J629" s="17">
        <f>IFERROR(__xludf.DUMMYFUNCTION("INDEX(GOOGLEFINANCE(A629, ""open"", $J$1, $J$1), 2, 2)"),4.3)</f>
        <v>4.3</v>
      </c>
      <c r="K629" s="17">
        <f>IFERROR(__xludf.DUMMYFUNCTION("INDEX(GOOGLEFINANCE(A629, ""close"", $K$1, $K$1), 2, 2)"),4.34)</f>
        <v>4.34</v>
      </c>
      <c r="L629" s="8">
        <f t="shared" si="1"/>
        <v>0.9302325581</v>
      </c>
      <c r="M629" s="18">
        <f t="shared" si="2"/>
        <v>9.302325581</v>
      </c>
      <c r="N629" s="18" t="str">
        <f t="shared" si="3"/>
        <v>Put Spread</v>
      </c>
      <c r="O629" s="18" t="str">
        <f t="shared" si="4"/>
        <v>No</v>
      </c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</row>
    <row r="630">
      <c r="A630" s="13" t="s">
        <v>653</v>
      </c>
      <c r="B630" s="14" t="s">
        <v>18</v>
      </c>
      <c r="C630" s="15">
        <v>4.75</v>
      </c>
      <c r="D630" s="13" t="s">
        <v>19</v>
      </c>
      <c r="E630" s="15">
        <v>3.83</v>
      </c>
      <c r="F630" s="15">
        <v>3.0</v>
      </c>
      <c r="G630" s="15">
        <v>3.0</v>
      </c>
      <c r="H630" s="15">
        <v>1.0</v>
      </c>
      <c r="I630" s="16">
        <v>0.0</v>
      </c>
      <c r="J630" s="17">
        <f>IFERROR(__xludf.DUMMYFUNCTION("INDEX(GOOGLEFINANCE(A630, ""open"", $J$1, $J$1), 2, 2)"),4.29)</f>
        <v>4.29</v>
      </c>
      <c r="K630" s="17">
        <f>IFERROR(__xludf.DUMMYFUNCTION("INDEX(GOOGLEFINANCE(A630, ""close"", $K$1, $K$1), 2, 2)"),4.33)</f>
        <v>4.33</v>
      </c>
      <c r="L630" s="8">
        <f t="shared" si="1"/>
        <v>0.9324009324</v>
      </c>
      <c r="M630" s="18">
        <f t="shared" si="2"/>
        <v>9.324009324</v>
      </c>
      <c r="N630" s="18" t="str">
        <f t="shared" si="3"/>
        <v>Put Spread</v>
      </c>
      <c r="O630" s="18" t="str">
        <f t="shared" si="4"/>
        <v>Success</v>
      </c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</row>
    <row r="631">
      <c r="A631" s="13" t="s">
        <v>654</v>
      </c>
      <c r="B631" s="14" t="s">
        <v>18</v>
      </c>
      <c r="C631" s="15">
        <v>185.74</v>
      </c>
      <c r="D631" s="13" t="s">
        <v>19</v>
      </c>
      <c r="E631" s="15">
        <v>174.44</v>
      </c>
      <c r="F631" s="15">
        <v>2.0</v>
      </c>
      <c r="G631" s="15">
        <v>2.0</v>
      </c>
      <c r="H631" s="15">
        <v>4.0</v>
      </c>
      <c r="I631" s="16">
        <v>-3.5097081</v>
      </c>
      <c r="J631" s="17">
        <f>IFERROR(__xludf.DUMMYFUNCTION("INDEX(GOOGLEFINANCE(A631, ""open"", $J$1, $J$1), 2, 2)"),180.64)</f>
        <v>180.64</v>
      </c>
      <c r="K631" s="17">
        <f>IFERROR(__xludf.DUMMYFUNCTION("INDEX(GOOGLEFINANCE(A631, ""close"", $K$1, $K$1), 2, 2)"),182.36)</f>
        <v>182.36</v>
      </c>
      <c r="L631" s="8">
        <f t="shared" si="1"/>
        <v>0.952170062</v>
      </c>
      <c r="M631" s="18">
        <f t="shared" si="2"/>
        <v>9.52170062</v>
      </c>
      <c r="N631" s="18" t="str">
        <f t="shared" si="3"/>
        <v>Put Spread</v>
      </c>
      <c r="O631" s="18" t="str">
        <f t="shared" si="4"/>
        <v>Success</v>
      </c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</row>
    <row r="632">
      <c r="A632" s="13" t="s">
        <v>655</v>
      </c>
      <c r="B632" s="14" t="s">
        <v>18</v>
      </c>
      <c r="C632" s="15">
        <v>80.66</v>
      </c>
      <c r="D632" s="13" t="s">
        <v>19</v>
      </c>
      <c r="E632" s="15">
        <v>73.88</v>
      </c>
      <c r="F632" s="15">
        <v>4.0</v>
      </c>
      <c r="G632" s="15">
        <v>2.0</v>
      </c>
      <c r="H632" s="15">
        <v>3.0</v>
      </c>
      <c r="I632" s="16">
        <v>0.0</v>
      </c>
      <c r="J632" s="17">
        <f>IFERROR(__xludf.DUMMYFUNCTION("INDEX(GOOGLEFINANCE(A632, ""open"", $J$1, $J$1), 2, 2)"),77.25)</f>
        <v>77.25</v>
      </c>
      <c r="K632" s="17">
        <f>IFERROR(__xludf.DUMMYFUNCTION("INDEX(GOOGLEFINANCE(A632, ""close"", $K$1, $K$1), 2, 2)"),78.0)</f>
        <v>78</v>
      </c>
      <c r="L632" s="20">
        <f t="shared" si="1"/>
        <v>0.9708737864</v>
      </c>
      <c r="M632" s="18">
        <f t="shared" si="2"/>
        <v>9.708737864</v>
      </c>
      <c r="N632" s="18" t="str">
        <f t="shared" si="3"/>
        <v>Put Spread</v>
      </c>
      <c r="O632" s="18" t="str">
        <f t="shared" si="4"/>
        <v>Success</v>
      </c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</row>
    <row r="633">
      <c r="A633" s="13" t="s">
        <v>656</v>
      </c>
      <c r="B633" s="14" t="s">
        <v>18</v>
      </c>
      <c r="C633" s="15">
        <v>66.61</v>
      </c>
      <c r="D633" s="13" t="s">
        <v>19</v>
      </c>
      <c r="E633" s="15">
        <v>63.27</v>
      </c>
      <c r="F633" s="15">
        <v>5.0</v>
      </c>
      <c r="G633" s="15">
        <v>2.0</v>
      </c>
      <c r="H633" s="15">
        <v>5.0</v>
      </c>
      <c r="I633" s="16">
        <v>-0.2512737</v>
      </c>
      <c r="J633" s="17">
        <f>IFERROR(__xludf.DUMMYFUNCTION("INDEX(GOOGLEFINANCE(A633, ""open"", $J$1, $J$1), 2, 2)"),64.83)</f>
        <v>64.83</v>
      </c>
      <c r="K633" s="17">
        <f>IFERROR(__xludf.DUMMYFUNCTION("INDEX(GOOGLEFINANCE(A633, ""close"", $K$1, $K$1), 2, 2)"),65.47)</f>
        <v>65.47</v>
      </c>
      <c r="L633" s="8">
        <f t="shared" si="1"/>
        <v>0.9871972852</v>
      </c>
      <c r="M633" s="18">
        <f t="shared" si="2"/>
        <v>9.871972852</v>
      </c>
      <c r="N633" s="18" t="str">
        <f t="shared" si="3"/>
        <v>Put Spread</v>
      </c>
      <c r="O633" s="18" t="str">
        <f t="shared" si="4"/>
        <v>Success</v>
      </c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</row>
    <row r="634">
      <c r="A634" s="13" t="s">
        <v>657</v>
      </c>
      <c r="B634" s="14" t="s">
        <v>18</v>
      </c>
      <c r="C634" s="15">
        <v>19.64</v>
      </c>
      <c r="D634" s="13" t="s">
        <v>19</v>
      </c>
      <c r="E634" s="15">
        <v>17.1</v>
      </c>
      <c r="F634" s="15">
        <v>2.0</v>
      </c>
      <c r="G634" s="15">
        <v>3.0</v>
      </c>
      <c r="H634" s="15">
        <v>1.0</v>
      </c>
      <c r="I634" s="16">
        <v>1.0696712015314</v>
      </c>
      <c r="J634" s="17">
        <f>IFERROR(__xludf.DUMMYFUNCTION("INDEX(GOOGLEFINANCE(A634, ""open"", $J$1, $J$1), 2, 2)"),18.34)</f>
        <v>18.34</v>
      </c>
      <c r="K634" s="17">
        <f>IFERROR(__xludf.DUMMYFUNCTION("INDEX(GOOGLEFINANCE(A634, ""close"", $K$1, $K$1), 2, 2)"),18.53)</f>
        <v>18.53</v>
      </c>
      <c r="L634" s="8">
        <f t="shared" si="1"/>
        <v>1.035986914</v>
      </c>
      <c r="M634" s="18">
        <f t="shared" si="2"/>
        <v>10.35986914</v>
      </c>
      <c r="N634" s="18" t="str">
        <f t="shared" si="3"/>
        <v>Put Spread</v>
      </c>
      <c r="O634" s="18" t="str">
        <f t="shared" si="4"/>
        <v>Success</v>
      </c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</row>
    <row r="635">
      <c r="A635" s="13" t="s">
        <v>658</v>
      </c>
      <c r="B635" s="14" t="s">
        <v>18</v>
      </c>
      <c r="C635" s="15">
        <v>7.43</v>
      </c>
      <c r="D635" s="13" t="s">
        <v>19</v>
      </c>
      <c r="E635" s="15">
        <v>5.69</v>
      </c>
      <c r="F635" s="15">
        <v>2.0</v>
      </c>
      <c r="G635" s="15">
        <v>4.0</v>
      </c>
      <c r="H635" s="15">
        <v>4.0</v>
      </c>
      <c r="I635" s="16">
        <v>0.926502698803928</v>
      </c>
      <c r="J635" s="17">
        <f>IFERROR(__xludf.DUMMYFUNCTION("INDEX(GOOGLEFINANCE(A635, ""open"", $J$1, $J$1), 2, 2)"),6.53)</f>
        <v>6.53</v>
      </c>
      <c r="K635" s="17">
        <f>IFERROR(__xludf.DUMMYFUNCTION("INDEX(GOOGLEFINANCE(A635, ""close"", $K$1, $K$1), 2, 2)"),6.6)</f>
        <v>6.6</v>
      </c>
      <c r="L635" s="8">
        <f t="shared" si="1"/>
        <v>1.071975498</v>
      </c>
      <c r="M635" s="18">
        <f t="shared" si="2"/>
        <v>10.71975498</v>
      </c>
      <c r="N635" s="18" t="str">
        <f t="shared" si="3"/>
        <v>Put Spread</v>
      </c>
      <c r="O635" s="18" t="str">
        <f t="shared" si="4"/>
        <v>Success</v>
      </c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</row>
    <row r="636">
      <c r="A636" s="13" t="s">
        <v>659</v>
      </c>
      <c r="B636" s="26" t="s">
        <v>47</v>
      </c>
      <c r="C636" s="15">
        <v>408.99</v>
      </c>
      <c r="D636" s="13" t="s">
        <v>48</v>
      </c>
      <c r="E636" s="15">
        <v>433.35</v>
      </c>
      <c r="F636" s="15">
        <v>1.0</v>
      </c>
      <c r="G636" s="15">
        <v>1.0</v>
      </c>
      <c r="H636" s="15">
        <v>0.0</v>
      </c>
      <c r="I636" s="16">
        <v>0.0</v>
      </c>
      <c r="J636" s="17">
        <f>IFERROR(__xludf.DUMMYFUNCTION("INDEX(GOOGLEFINANCE(A636, ""open"", $J$1, $J$1), 2, 2)"),425.9)</f>
        <v>425.9</v>
      </c>
      <c r="K636" s="17">
        <f>IFERROR(__xludf.DUMMYFUNCTION("INDEX(GOOGLEFINANCE(A636, ""close"", $K$1, $K$1), 2, 2)"),421.01)</f>
        <v>421.01</v>
      </c>
      <c r="L636" s="20">
        <f t="shared" si="1"/>
        <v>1.148156844</v>
      </c>
      <c r="M636" s="18">
        <f t="shared" si="2"/>
        <v>11.48156844</v>
      </c>
      <c r="N636" s="18" t="str">
        <f t="shared" si="3"/>
        <v>Call Spread</v>
      </c>
      <c r="O636" s="18" t="str">
        <f t="shared" si="4"/>
        <v>Success</v>
      </c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</row>
    <row r="637">
      <c r="A637" s="13" t="s">
        <v>660</v>
      </c>
      <c r="B637" s="14" t="s">
        <v>18</v>
      </c>
      <c r="C637" s="15">
        <v>95.56</v>
      </c>
      <c r="D637" s="13" t="s">
        <v>19</v>
      </c>
      <c r="E637" s="15">
        <v>93.92</v>
      </c>
      <c r="F637" s="15">
        <v>2.0</v>
      </c>
      <c r="G637" s="15">
        <v>1.0</v>
      </c>
      <c r="H637" s="15">
        <v>4.0</v>
      </c>
      <c r="I637" s="16">
        <v>1.79435691341431</v>
      </c>
      <c r="J637" s="17">
        <f>IFERROR(__xludf.DUMMYFUNCTION("INDEX(GOOGLEFINANCE(A637, ""open"", $J$1, $J$1), 2, 2)"),94.57)</f>
        <v>94.57</v>
      </c>
      <c r="K637" s="17">
        <f>IFERROR(__xludf.DUMMYFUNCTION("INDEX(GOOGLEFINANCE(A637, ""close"", $K$1, $K$1), 2, 2)"),95.68)</f>
        <v>95.68</v>
      </c>
      <c r="L637" s="8">
        <f t="shared" si="1"/>
        <v>1.173733742</v>
      </c>
      <c r="M637" s="18">
        <f t="shared" si="2"/>
        <v>11.73733742</v>
      </c>
      <c r="N637" s="18" t="str">
        <f t="shared" si="3"/>
        <v>Put Spread</v>
      </c>
      <c r="O637" s="18" t="str">
        <f t="shared" si="4"/>
        <v>Success</v>
      </c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</row>
    <row r="638">
      <c r="A638" s="13" t="s">
        <v>661</v>
      </c>
      <c r="B638" s="14" t="s">
        <v>18</v>
      </c>
      <c r="C638" s="15">
        <v>11.47</v>
      </c>
      <c r="D638" s="13" t="s">
        <v>19</v>
      </c>
      <c r="E638" s="15">
        <v>10.43</v>
      </c>
      <c r="F638" s="15">
        <v>2.0</v>
      </c>
      <c r="G638" s="15">
        <v>1.0</v>
      </c>
      <c r="H638" s="15">
        <v>3.0</v>
      </c>
      <c r="I638" s="16">
        <v>0.0</v>
      </c>
      <c r="J638" s="17">
        <f>IFERROR(__xludf.DUMMYFUNCTION("INDEX(GOOGLEFINANCE(A638, ""open"", $J$1, $J$1), 2, 2)"),11.06)</f>
        <v>11.06</v>
      </c>
      <c r="K638" s="17">
        <f>IFERROR(__xludf.DUMMYFUNCTION("INDEX(GOOGLEFINANCE(A638, ""close"", $K$1, $K$1), 2, 2)"),11.19)</f>
        <v>11.19</v>
      </c>
      <c r="L638" s="8">
        <f t="shared" si="1"/>
        <v>1.175406872</v>
      </c>
      <c r="M638" s="18">
        <f t="shared" si="2"/>
        <v>11.75406872</v>
      </c>
      <c r="N638" s="18" t="str">
        <f t="shared" si="3"/>
        <v>Put Spread</v>
      </c>
      <c r="O638" s="18" t="str">
        <f t="shared" si="4"/>
        <v>Success</v>
      </c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</row>
    <row r="639">
      <c r="A639" s="13" t="s">
        <v>662</v>
      </c>
      <c r="B639" s="14" t="s">
        <v>18</v>
      </c>
      <c r="C639" s="15">
        <v>43.88</v>
      </c>
      <c r="D639" s="13" t="s">
        <v>19</v>
      </c>
      <c r="E639" s="15">
        <v>40.48</v>
      </c>
      <c r="F639" s="15">
        <v>3.0</v>
      </c>
      <c r="G639" s="15">
        <v>3.0</v>
      </c>
      <c r="H639" s="15">
        <v>5.0</v>
      </c>
      <c r="I639" s="16">
        <v>-1.3157541</v>
      </c>
      <c r="J639" s="17">
        <f>IFERROR(__xludf.DUMMYFUNCTION("INDEX(GOOGLEFINANCE(A639, ""open"", $J$1, $J$1), 2, 2)"),42.09)</f>
        <v>42.09</v>
      </c>
      <c r="K639" s="17">
        <f>IFERROR(__xludf.DUMMYFUNCTION("INDEX(GOOGLEFINANCE(A639, ""close"", $K$1, $K$1), 2, 2)"),42.59)</f>
        <v>42.59</v>
      </c>
      <c r="L639" s="8">
        <f t="shared" si="1"/>
        <v>1.187930625</v>
      </c>
      <c r="M639" s="18">
        <f t="shared" si="2"/>
        <v>11.87930625</v>
      </c>
      <c r="N639" s="18" t="str">
        <f t="shared" si="3"/>
        <v>Put Spread</v>
      </c>
      <c r="O639" s="18" t="str">
        <f t="shared" si="4"/>
        <v>Success</v>
      </c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</row>
    <row r="640">
      <c r="A640" s="13" t="s">
        <v>663</v>
      </c>
      <c r="B640" s="26" t="s">
        <v>47</v>
      </c>
      <c r="C640" s="15">
        <v>31.73</v>
      </c>
      <c r="D640" s="13" t="s">
        <v>48</v>
      </c>
      <c r="E640" s="15">
        <v>35.65</v>
      </c>
      <c r="F640" s="15">
        <v>0.0</v>
      </c>
      <c r="G640" s="15">
        <v>2.0</v>
      </c>
      <c r="H640" s="15">
        <v>2.0</v>
      </c>
      <c r="I640" s="16">
        <v>0.0</v>
      </c>
      <c r="J640" s="17">
        <f>IFERROR(__xludf.DUMMYFUNCTION("INDEX(GOOGLEFINANCE(A640, ""open"", $J$1, $J$1), 2, 2)"),33.65)</f>
        <v>33.65</v>
      </c>
      <c r="K640" s="17">
        <f>IFERROR(__xludf.DUMMYFUNCTION("INDEX(GOOGLEFINANCE(A640, ""close"", $K$1, $K$1), 2, 2)"),33.25)</f>
        <v>33.25</v>
      </c>
      <c r="L640" s="20">
        <f t="shared" si="1"/>
        <v>1.188707281</v>
      </c>
      <c r="M640" s="18">
        <f t="shared" si="2"/>
        <v>11.88707281</v>
      </c>
      <c r="N640" s="18" t="str">
        <f t="shared" si="3"/>
        <v>Call Spread</v>
      </c>
      <c r="O640" s="18" t="str">
        <f t="shared" si="4"/>
        <v>Success</v>
      </c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</row>
    <row r="641">
      <c r="A641" s="13" t="s">
        <v>664</v>
      </c>
      <c r="B641" s="26" t="s">
        <v>47</v>
      </c>
      <c r="C641" s="15">
        <v>222.43</v>
      </c>
      <c r="D641" s="13" t="s">
        <v>48</v>
      </c>
      <c r="E641" s="15">
        <v>238.49</v>
      </c>
      <c r="F641" s="15">
        <v>0.0</v>
      </c>
      <c r="G641" s="15">
        <v>2.0</v>
      </c>
      <c r="H641" s="15">
        <v>4.0</v>
      </c>
      <c r="I641" s="16">
        <v>0.0</v>
      </c>
      <c r="J641" s="17">
        <f>IFERROR(__xludf.DUMMYFUNCTION("INDEX(GOOGLEFINANCE(A641, ""open"", $J$1, $J$1), 2, 2)"),229.61)</f>
        <v>229.61</v>
      </c>
      <c r="K641" s="17">
        <f>IFERROR(__xludf.DUMMYFUNCTION("INDEX(GOOGLEFINANCE(A641, ""close"", $K$1, $K$1), 2, 2)"),226.87)</f>
        <v>226.87</v>
      </c>
      <c r="L641" s="8">
        <f t="shared" si="1"/>
        <v>1.193327817</v>
      </c>
      <c r="M641" s="18">
        <f t="shared" si="2"/>
        <v>11.93327817</v>
      </c>
      <c r="N641" s="18" t="str">
        <f t="shared" si="3"/>
        <v>Call Spread</v>
      </c>
      <c r="O641" s="18" t="str">
        <f t="shared" si="4"/>
        <v>Success</v>
      </c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</row>
    <row r="642">
      <c r="A642" s="13" t="s">
        <v>665</v>
      </c>
      <c r="B642" s="26" t="s">
        <v>47</v>
      </c>
      <c r="C642" s="15">
        <v>324.86</v>
      </c>
      <c r="D642" s="13" t="s">
        <v>48</v>
      </c>
      <c r="E642" s="15">
        <v>348.86</v>
      </c>
      <c r="F642" s="15">
        <v>0.0</v>
      </c>
      <c r="G642" s="15">
        <v>3.0</v>
      </c>
      <c r="H642" s="15">
        <v>3.0</v>
      </c>
      <c r="I642" s="16">
        <v>0.0</v>
      </c>
      <c r="J642" s="17">
        <f>IFERROR(__xludf.DUMMYFUNCTION("INDEX(GOOGLEFINANCE(A642, ""open"", $J$1, $J$1), 2, 2)"),335.38)</f>
        <v>335.38</v>
      </c>
      <c r="K642" s="17">
        <f>IFERROR(__xludf.DUMMYFUNCTION("INDEX(GOOGLEFINANCE(A642, ""close"", $K$1, $K$1), 2, 2)"),331.34)</f>
        <v>331.34</v>
      </c>
      <c r="L642" s="8">
        <f t="shared" si="1"/>
        <v>1.204603733</v>
      </c>
      <c r="M642" s="18">
        <f t="shared" si="2"/>
        <v>12.04603733</v>
      </c>
      <c r="N642" s="18" t="str">
        <f t="shared" si="3"/>
        <v>Call Spread</v>
      </c>
      <c r="O642" s="18" t="str">
        <f t="shared" si="4"/>
        <v>Success</v>
      </c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</row>
    <row r="643">
      <c r="A643" s="13" t="s">
        <v>666</v>
      </c>
      <c r="B643" s="26" t="s">
        <v>47</v>
      </c>
      <c r="C643" s="15">
        <v>47.67</v>
      </c>
      <c r="D643" s="13" t="s">
        <v>48</v>
      </c>
      <c r="E643" s="15">
        <v>52.31</v>
      </c>
      <c r="F643" s="15">
        <v>0.0</v>
      </c>
      <c r="G643" s="15">
        <v>2.0</v>
      </c>
      <c r="H643" s="15">
        <v>3.0</v>
      </c>
      <c r="I643" s="16">
        <v>0.0</v>
      </c>
      <c r="J643" s="17">
        <f>IFERROR(__xludf.DUMMYFUNCTION("INDEX(GOOGLEFINANCE(A643, ""open"", $J$1, $J$1), 2, 2)"),50.18)</f>
        <v>50.18</v>
      </c>
      <c r="K643" s="17">
        <f>IFERROR(__xludf.DUMMYFUNCTION("INDEX(GOOGLEFINANCE(A643, ""close"", $K$1, $K$1), 2, 2)"),49.52)</f>
        <v>49.52</v>
      </c>
      <c r="L643" s="8">
        <f t="shared" si="1"/>
        <v>1.315265046</v>
      </c>
      <c r="M643" s="18">
        <f t="shared" si="2"/>
        <v>13.15265046</v>
      </c>
      <c r="N643" s="18" t="str">
        <f t="shared" si="3"/>
        <v>Call Spread</v>
      </c>
      <c r="O643" s="18" t="str">
        <f t="shared" si="4"/>
        <v>Success</v>
      </c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</row>
    <row r="644">
      <c r="A644" s="13" t="s">
        <v>667</v>
      </c>
      <c r="B644" s="14" t="s">
        <v>18</v>
      </c>
      <c r="C644" s="15">
        <v>112.96</v>
      </c>
      <c r="D644" s="13" t="s">
        <v>19</v>
      </c>
      <c r="E644" s="15">
        <v>102.16</v>
      </c>
      <c r="F644" s="15">
        <v>2.0</v>
      </c>
      <c r="G644" s="15">
        <v>2.0</v>
      </c>
      <c r="H644" s="15">
        <v>2.0</v>
      </c>
      <c r="I644" s="16">
        <v>0.0</v>
      </c>
      <c r="J644" s="17">
        <f>IFERROR(__xludf.DUMMYFUNCTION("INDEX(GOOGLEFINANCE(A644, ""open"", $J$1, $J$1), 2, 2)"),107.03)</f>
        <v>107.03</v>
      </c>
      <c r="K644" s="17">
        <f>IFERROR(__xludf.DUMMYFUNCTION("INDEX(GOOGLEFINANCE(A644, ""close"", $K$1, $K$1), 2, 2)"),108.53)</f>
        <v>108.53</v>
      </c>
      <c r="L644" s="8">
        <f t="shared" si="1"/>
        <v>1.401476222</v>
      </c>
      <c r="M644" s="18">
        <f t="shared" si="2"/>
        <v>14.01476222</v>
      </c>
      <c r="N644" s="18" t="str">
        <f t="shared" si="3"/>
        <v>Put Spread</v>
      </c>
      <c r="O644" s="18" t="str">
        <f t="shared" si="4"/>
        <v>Success</v>
      </c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</row>
    <row r="645">
      <c r="A645" s="13" t="s">
        <v>668</v>
      </c>
      <c r="B645" s="14" t="s">
        <v>18</v>
      </c>
      <c r="C645" s="15">
        <v>24.6</v>
      </c>
      <c r="D645" s="13" t="s">
        <v>19</v>
      </c>
      <c r="E645" s="15">
        <v>21.9</v>
      </c>
      <c r="F645" s="15">
        <v>2.0</v>
      </c>
      <c r="G645" s="15">
        <v>2.0</v>
      </c>
      <c r="H645" s="15">
        <v>5.0</v>
      </c>
      <c r="I645" s="16">
        <v>0.958468036176733</v>
      </c>
      <c r="J645" s="17">
        <f>IFERROR(__xludf.DUMMYFUNCTION("INDEX(GOOGLEFINANCE(A645, ""open"", $J$1, $J$1), 2, 2)"),23.2)</f>
        <v>23.2</v>
      </c>
      <c r="K645" s="17">
        <f>IFERROR(__xludf.DUMMYFUNCTION("INDEX(GOOGLEFINANCE(A645, ""close"", $K$1, $K$1), 2, 2)"),23.53)</f>
        <v>23.53</v>
      </c>
      <c r="L645" s="8">
        <f t="shared" si="1"/>
        <v>1.422413793</v>
      </c>
      <c r="M645" s="18">
        <f t="shared" si="2"/>
        <v>14.22413793</v>
      </c>
      <c r="N645" s="18" t="str">
        <f t="shared" si="3"/>
        <v>Put Spread</v>
      </c>
      <c r="O645" s="18" t="str">
        <f t="shared" si="4"/>
        <v>Success</v>
      </c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</row>
    <row r="646">
      <c r="A646" s="13" t="s">
        <v>669</v>
      </c>
      <c r="B646" s="14" t="s">
        <v>18</v>
      </c>
      <c r="C646" s="15">
        <v>52.48</v>
      </c>
      <c r="D646" s="13" t="s">
        <v>19</v>
      </c>
      <c r="E646" s="15">
        <v>49.42</v>
      </c>
      <c r="F646" s="15">
        <v>2.0</v>
      </c>
      <c r="G646" s="15">
        <v>2.0</v>
      </c>
      <c r="H646" s="15">
        <v>4.0</v>
      </c>
      <c r="I646" s="16">
        <v>0.0</v>
      </c>
      <c r="J646" s="17">
        <f>IFERROR(__xludf.DUMMYFUNCTION("INDEX(GOOGLEFINANCE(A646, ""open"", $J$1, $J$1), 2, 2)"),51.11)</f>
        <v>51.11</v>
      </c>
      <c r="K646" s="17">
        <f>IFERROR(__xludf.DUMMYFUNCTION("INDEX(GOOGLEFINANCE(A646, ""close"", $K$1, $K$1), 2, 2)"),51.85)</f>
        <v>51.85</v>
      </c>
      <c r="L646" s="8">
        <f t="shared" si="1"/>
        <v>1.447857562</v>
      </c>
      <c r="M646" s="18">
        <f t="shared" si="2"/>
        <v>14.47857562</v>
      </c>
      <c r="N646" s="18" t="str">
        <f t="shared" si="3"/>
        <v>Put Spread</v>
      </c>
      <c r="O646" s="18" t="str">
        <f t="shared" si="4"/>
        <v>Success</v>
      </c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</row>
    <row r="647">
      <c r="A647" s="13" t="s">
        <v>670</v>
      </c>
      <c r="B647" s="14" t="s">
        <v>18</v>
      </c>
      <c r="C647" s="15">
        <v>3931.27</v>
      </c>
      <c r="D647" s="13" t="s">
        <v>19</v>
      </c>
      <c r="E647" s="15">
        <v>3710.55</v>
      </c>
      <c r="F647" s="15">
        <v>5.0</v>
      </c>
      <c r="G647" s="15">
        <v>0.0</v>
      </c>
      <c r="H647" s="15">
        <v>5.0</v>
      </c>
      <c r="I647" s="16">
        <v>0.0</v>
      </c>
      <c r="J647" s="17">
        <f>IFERROR(__xludf.DUMMYFUNCTION("INDEX(GOOGLEFINANCE(A647, ""open"", $J$1, $J$1), 2, 2)"),3802.9)</f>
        <v>3802.9</v>
      </c>
      <c r="K647" s="17">
        <f>IFERROR(__xludf.DUMMYFUNCTION("INDEX(GOOGLEFINANCE(A647, ""close"", $K$1, $K$1), 2, 2)"),3858.86)</f>
        <v>3858.86</v>
      </c>
      <c r="L647" s="8">
        <f t="shared" si="1"/>
        <v>1.471508586</v>
      </c>
      <c r="M647" s="18">
        <f t="shared" si="2"/>
        <v>14.71508586</v>
      </c>
      <c r="N647" s="18" t="str">
        <f t="shared" si="3"/>
        <v>Put Spread</v>
      </c>
      <c r="O647" s="18" t="str">
        <f t="shared" si="4"/>
        <v>Success</v>
      </c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</row>
    <row r="648">
      <c r="A648" s="13" t="s">
        <v>671</v>
      </c>
      <c r="B648" s="14" t="s">
        <v>18</v>
      </c>
      <c r="C648" s="15">
        <v>68.89</v>
      </c>
      <c r="D648" s="13" t="s">
        <v>19</v>
      </c>
      <c r="E648" s="15">
        <v>64.11</v>
      </c>
      <c r="F648" s="15">
        <v>5.0</v>
      </c>
      <c r="G648" s="15">
        <v>2.0</v>
      </c>
      <c r="H648" s="15">
        <v>4.0</v>
      </c>
      <c r="I648" s="16">
        <v>1.755135952189</v>
      </c>
      <c r="J648" s="17">
        <f>IFERROR(__xludf.DUMMYFUNCTION("INDEX(GOOGLEFINANCE(A648, ""open"", $J$1, $J$1), 2, 2)"),66.18)</f>
        <v>66.18</v>
      </c>
      <c r="K648" s="17">
        <f>IFERROR(__xludf.DUMMYFUNCTION("INDEX(GOOGLEFINANCE(A648, ""close"", $K$1, $K$1), 2, 2)"),67.16)</f>
        <v>67.16</v>
      </c>
      <c r="L648" s="8">
        <f t="shared" si="1"/>
        <v>1.480809912</v>
      </c>
      <c r="M648" s="18">
        <f t="shared" si="2"/>
        <v>14.80809912</v>
      </c>
      <c r="N648" s="18" t="str">
        <f t="shared" si="3"/>
        <v>Put Spread</v>
      </c>
      <c r="O648" s="18" t="str">
        <f t="shared" si="4"/>
        <v>Success</v>
      </c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</row>
    <row r="649">
      <c r="A649" s="13" t="s">
        <v>672</v>
      </c>
      <c r="B649" s="14" t="s">
        <v>18</v>
      </c>
      <c r="C649" s="15">
        <v>60.06</v>
      </c>
      <c r="D649" s="13" t="s">
        <v>19</v>
      </c>
      <c r="E649" s="15">
        <v>48.88</v>
      </c>
      <c r="F649" s="15">
        <v>4.0</v>
      </c>
      <c r="G649" s="15">
        <v>2.0</v>
      </c>
      <c r="H649" s="15">
        <v>4.0</v>
      </c>
      <c r="I649" s="16">
        <v>0.0</v>
      </c>
      <c r="J649" s="17">
        <f>IFERROR(__xludf.DUMMYFUNCTION("INDEX(GOOGLEFINANCE(A649, ""open"", $J$1, $J$1), 2, 2)"),55.81)</f>
        <v>55.81</v>
      </c>
      <c r="K649" s="17">
        <f>IFERROR(__xludf.DUMMYFUNCTION("INDEX(GOOGLEFINANCE(A649, ""close"", $K$1, $K$1), 2, 2)"),56.64)</f>
        <v>56.64</v>
      </c>
      <c r="L649" s="8">
        <f t="shared" si="1"/>
        <v>1.487188676</v>
      </c>
      <c r="M649" s="18">
        <f t="shared" si="2"/>
        <v>14.87188676</v>
      </c>
      <c r="N649" s="18" t="str">
        <f t="shared" si="3"/>
        <v>Put Spread</v>
      </c>
      <c r="O649" s="18" t="str">
        <f t="shared" si="4"/>
        <v>Success</v>
      </c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</row>
    <row r="650">
      <c r="A650" s="13" t="s">
        <v>673</v>
      </c>
      <c r="B650" s="14" t="s">
        <v>18</v>
      </c>
      <c r="C650" s="15">
        <v>100.46</v>
      </c>
      <c r="D650" s="13" t="s">
        <v>19</v>
      </c>
      <c r="E650" s="15">
        <v>94.86</v>
      </c>
      <c r="F650" s="15">
        <v>5.0</v>
      </c>
      <c r="G650" s="15">
        <v>1.0</v>
      </c>
      <c r="H650" s="15">
        <v>1.0</v>
      </c>
      <c r="I650" s="16">
        <v>2.44827990079133</v>
      </c>
      <c r="J650" s="17">
        <f>IFERROR(__xludf.DUMMYFUNCTION("INDEX(GOOGLEFINANCE(A650, ""open"", $J$1, $J$1), 2, 2)"),97.65)</f>
        <v>97.65</v>
      </c>
      <c r="K650" s="17">
        <f>IFERROR(__xludf.DUMMYFUNCTION("INDEX(GOOGLEFINANCE(A650, ""close"", $K$1, $K$1), 2, 2)"),99.12)</f>
        <v>99.12</v>
      </c>
      <c r="L650" s="8">
        <f t="shared" si="1"/>
        <v>1.505376344</v>
      </c>
      <c r="M650" s="18">
        <f t="shared" si="2"/>
        <v>15.05376344</v>
      </c>
      <c r="N650" s="18" t="str">
        <f t="shared" si="3"/>
        <v>Put Spread</v>
      </c>
      <c r="O650" s="18" t="str">
        <f t="shared" si="4"/>
        <v>Success</v>
      </c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</row>
    <row r="651">
      <c r="A651" s="13" t="s">
        <v>674</v>
      </c>
      <c r="B651" s="14" t="s">
        <v>18</v>
      </c>
      <c r="C651" s="15">
        <v>177.47</v>
      </c>
      <c r="D651" s="13" t="s">
        <v>19</v>
      </c>
      <c r="E651" s="15">
        <v>155.47</v>
      </c>
      <c r="F651" s="15">
        <v>4.0</v>
      </c>
      <c r="G651" s="15">
        <v>3.0</v>
      </c>
      <c r="H651" s="15">
        <v>5.0</v>
      </c>
      <c r="I651" s="16">
        <v>1.1426826656699</v>
      </c>
      <c r="J651" s="17">
        <f>IFERROR(__xludf.DUMMYFUNCTION("INDEX(GOOGLEFINANCE(A651, ""open"", $J$1, $J$1), 2, 2)"),169.08)</f>
        <v>169.08</v>
      </c>
      <c r="K651" s="17">
        <f>IFERROR(__xludf.DUMMYFUNCTION("INDEX(GOOGLEFINANCE(A651, ""close"", $K$1, $K$1), 2, 2)"),171.63)</f>
        <v>171.63</v>
      </c>
      <c r="L651" s="8">
        <f t="shared" si="1"/>
        <v>1.508161817</v>
      </c>
      <c r="M651" s="18">
        <f t="shared" si="2"/>
        <v>15.08161817</v>
      </c>
      <c r="N651" s="18" t="str">
        <f t="shared" si="3"/>
        <v>Put Spread</v>
      </c>
      <c r="O651" s="18" t="str">
        <f t="shared" si="4"/>
        <v>Success</v>
      </c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</row>
    <row r="652">
      <c r="A652" s="13" t="s">
        <v>675</v>
      </c>
      <c r="B652" s="14" t="s">
        <v>18</v>
      </c>
      <c r="C652" s="15">
        <v>17.02</v>
      </c>
      <c r="D652" s="13" t="s">
        <v>19</v>
      </c>
      <c r="E652" s="15">
        <v>15.16</v>
      </c>
      <c r="F652" s="15">
        <v>4.0</v>
      </c>
      <c r="G652" s="15">
        <v>1.0</v>
      </c>
      <c r="H652" s="15">
        <v>5.0</v>
      </c>
      <c r="I652" s="16">
        <v>-1.3599821</v>
      </c>
      <c r="J652" s="17">
        <f>IFERROR(__xludf.DUMMYFUNCTION("INDEX(GOOGLEFINANCE(A652, ""open"", $J$1, $J$1), 2, 2)"),15.96)</f>
        <v>15.96</v>
      </c>
      <c r="K652" s="17">
        <f>IFERROR(__xludf.DUMMYFUNCTION("INDEX(GOOGLEFINANCE(A652, ""close"", $K$1, $K$1), 2, 2)"),16.21)</f>
        <v>16.21</v>
      </c>
      <c r="L652" s="8">
        <f t="shared" si="1"/>
        <v>1.56641604</v>
      </c>
      <c r="M652" s="18">
        <f t="shared" si="2"/>
        <v>15.6641604</v>
      </c>
      <c r="N652" s="18" t="str">
        <f t="shared" si="3"/>
        <v>Put Spread</v>
      </c>
      <c r="O652" s="18" t="str">
        <f t="shared" si="4"/>
        <v>Success</v>
      </c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</row>
    <row r="653">
      <c r="A653" s="13" t="s">
        <v>676</v>
      </c>
      <c r="B653" s="14" t="s">
        <v>18</v>
      </c>
      <c r="C653" s="15">
        <v>112.78</v>
      </c>
      <c r="D653" s="13" t="s">
        <v>19</v>
      </c>
      <c r="E653" s="15">
        <v>96.26</v>
      </c>
      <c r="F653" s="15">
        <v>4.0</v>
      </c>
      <c r="G653" s="15">
        <v>3.0</v>
      </c>
      <c r="H653" s="15">
        <v>5.0</v>
      </c>
      <c r="I653" s="16">
        <v>0.0</v>
      </c>
      <c r="J653" s="17">
        <f>IFERROR(__xludf.DUMMYFUNCTION("INDEX(GOOGLEFINANCE(A653, ""open"", $J$1, $J$1), 2, 2)"),105.02)</f>
        <v>105.02</v>
      </c>
      <c r="K653" s="17">
        <f>IFERROR(__xludf.DUMMYFUNCTION("INDEX(GOOGLEFINANCE(A653, ""close"", $K$1, $K$1), 2, 2)"),106.68)</f>
        <v>106.68</v>
      </c>
      <c r="L653" s="8">
        <f t="shared" si="1"/>
        <v>1.580651305</v>
      </c>
      <c r="M653" s="18">
        <f t="shared" si="2"/>
        <v>15.80651305</v>
      </c>
      <c r="N653" s="18" t="str">
        <f t="shared" si="3"/>
        <v>Put Spread</v>
      </c>
      <c r="O653" s="18" t="str">
        <f t="shared" si="4"/>
        <v>Success</v>
      </c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</row>
    <row r="654">
      <c r="A654" s="13" t="s">
        <v>677</v>
      </c>
      <c r="B654" s="14" t="s">
        <v>18</v>
      </c>
      <c r="C654" s="15">
        <v>90.26</v>
      </c>
      <c r="D654" s="13" t="s">
        <v>19</v>
      </c>
      <c r="E654" s="15">
        <v>84.9</v>
      </c>
      <c r="F654" s="15">
        <v>5.0</v>
      </c>
      <c r="G654" s="15">
        <v>2.0</v>
      </c>
      <c r="H654" s="15">
        <v>4.0</v>
      </c>
      <c r="I654" s="16">
        <v>0.0</v>
      </c>
      <c r="J654" s="17">
        <f>IFERROR(__xludf.DUMMYFUNCTION("INDEX(GOOGLEFINANCE(A654, ""open"", $J$1, $J$1), 2, 2)"),87.56)</f>
        <v>87.56</v>
      </c>
      <c r="K654" s="17">
        <f>IFERROR(__xludf.DUMMYFUNCTION("INDEX(GOOGLEFINANCE(A654, ""close"", $K$1, $K$1), 2, 2)"),88.97)</f>
        <v>88.97</v>
      </c>
      <c r="L654" s="8">
        <f t="shared" si="1"/>
        <v>1.610324349</v>
      </c>
      <c r="M654" s="18">
        <f t="shared" si="2"/>
        <v>16.10324349</v>
      </c>
      <c r="N654" s="18" t="str">
        <f t="shared" si="3"/>
        <v>Put Spread</v>
      </c>
      <c r="O654" s="18" t="str">
        <f t="shared" si="4"/>
        <v>Success</v>
      </c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</row>
    <row r="655">
      <c r="A655" s="13" t="s">
        <v>678</v>
      </c>
      <c r="B655" s="14" t="s">
        <v>18</v>
      </c>
      <c r="C655" s="15">
        <v>68.63</v>
      </c>
      <c r="D655" s="13" t="s">
        <v>19</v>
      </c>
      <c r="E655" s="15">
        <v>55.53</v>
      </c>
      <c r="F655" s="15">
        <v>3.0</v>
      </c>
      <c r="G655" s="15">
        <v>3.0</v>
      </c>
      <c r="H655" s="15">
        <v>5.0</v>
      </c>
      <c r="I655" s="16">
        <v>0.0</v>
      </c>
      <c r="J655" s="17">
        <f>IFERROR(__xludf.DUMMYFUNCTION("INDEX(GOOGLEFINANCE(A655, ""open"", $J$1, $J$1), 2, 2)"),62.67)</f>
        <v>62.67</v>
      </c>
      <c r="K655" s="17">
        <f>IFERROR(__xludf.DUMMYFUNCTION("INDEX(GOOGLEFINANCE(A655, ""close"", $K$1, $K$1), 2, 2)"),63.69)</f>
        <v>63.69</v>
      </c>
      <c r="L655" s="8">
        <f t="shared" si="1"/>
        <v>1.627573001</v>
      </c>
      <c r="M655" s="18">
        <f t="shared" si="2"/>
        <v>16.27573001</v>
      </c>
      <c r="N655" s="18" t="str">
        <f t="shared" si="3"/>
        <v>Put Spread</v>
      </c>
      <c r="O655" s="18" t="str">
        <f t="shared" si="4"/>
        <v>Success</v>
      </c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</row>
    <row r="656">
      <c r="A656" s="13" t="s">
        <v>679</v>
      </c>
      <c r="B656" s="14" t="s">
        <v>18</v>
      </c>
      <c r="C656" s="15">
        <v>91.51</v>
      </c>
      <c r="D656" s="13" t="s">
        <v>19</v>
      </c>
      <c r="E656" s="15">
        <v>81.39</v>
      </c>
      <c r="F656" s="15">
        <v>3.0</v>
      </c>
      <c r="G656" s="15">
        <v>2.0</v>
      </c>
      <c r="H656" s="15">
        <v>4.0</v>
      </c>
      <c r="I656" s="16">
        <v>0.0</v>
      </c>
      <c r="J656" s="17">
        <f>IFERROR(__xludf.DUMMYFUNCTION("INDEX(GOOGLEFINANCE(A656, ""open"", $J$1, $J$1), 2, 2)"),86.88)</f>
        <v>86.88</v>
      </c>
      <c r="K656" s="17">
        <f>IFERROR(__xludf.DUMMYFUNCTION("INDEX(GOOGLEFINANCE(A656, ""close"", $K$1, $K$1), 2, 2)"),88.3)</f>
        <v>88.3</v>
      </c>
      <c r="L656" s="8">
        <f t="shared" si="1"/>
        <v>1.634438306</v>
      </c>
      <c r="M656" s="18">
        <f t="shared" si="2"/>
        <v>16.34438306</v>
      </c>
      <c r="N656" s="18" t="str">
        <f t="shared" si="3"/>
        <v>Put Spread</v>
      </c>
      <c r="O656" s="18" t="str">
        <f t="shared" si="4"/>
        <v>Success</v>
      </c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</row>
    <row r="657">
      <c r="A657" s="13" t="s">
        <v>680</v>
      </c>
      <c r="B657" s="14" t="s">
        <v>18</v>
      </c>
      <c r="C657" s="15">
        <v>75.1</v>
      </c>
      <c r="D657" s="13" t="s">
        <v>19</v>
      </c>
      <c r="E657" s="15">
        <v>70.22</v>
      </c>
      <c r="F657" s="15">
        <v>3.0</v>
      </c>
      <c r="G657" s="15">
        <v>3.0</v>
      </c>
      <c r="H657" s="15">
        <v>5.0</v>
      </c>
      <c r="I657" s="16">
        <v>0.0</v>
      </c>
      <c r="J657" s="17">
        <f>IFERROR(__xludf.DUMMYFUNCTION("INDEX(GOOGLEFINANCE(A657, ""open"", $J$1, $J$1), 2, 2)"),72.72)</f>
        <v>72.72</v>
      </c>
      <c r="K657" s="17">
        <f>IFERROR(__xludf.DUMMYFUNCTION("INDEX(GOOGLEFINANCE(A657, ""close"", $K$1, $K$1), 2, 2)"),73.95)</f>
        <v>73.95</v>
      </c>
      <c r="L657" s="8">
        <f t="shared" si="1"/>
        <v>1.691419142</v>
      </c>
      <c r="M657" s="18">
        <f t="shared" si="2"/>
        <v>16.91419142</v>
      </c>
      <c r="N657" s="18" t="str">
        <f t="shared" si="3"/>
        <v>Put Spread</v>
      </c>
      <c r="O657" s="18" t="str">
        <f t="shared" si="4"/>
        <v>Success</v>
      </c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</row>
    <row r="658">
      <c r="A658" s="13" t="s">
        <v>681</v>
      </c>
      <c r="B658" s="14" t="s">
        <v>18</v>
      </c>
      <c r="C658" s="15">
        <v>90.64</v>
      </c>
      <c r="D658" s="13" t="s">
        <v>19</v>
      </c>
      <c r="E658" s="15">
        <v>85.68</v>
      </c>
      <c r="F658" s="15">
        <v>5.0</v>
      </c>
      <c r="G658" s="15">
        <v>2.0</v>
      </c>
      <c r="H658" s="15">
        <v>4.0</v>
      </c>
      <c r="I658" s="16">
        <v>0.0</v>
      </c>
      <c r="J658" s="17">
        <f>IFERROR(__xludf.DUMMYFUNCTION("INDEX(GOOGLEFINANCE(A658, ""open"", $J$1, $J$1), 2, 2)"),88.17)</f>
        <v>88.17</v>
      </c>
      <c r="K658" s="17">
        <f>IFERROR(__xludf.DUMMYFUNCTION("INDEX(GOOGLEFINANCE(A658, ""close"", $K$1, $K$1), 2, 2)"),89.67)</f>
        <v>89.67</v>
      </c>
      <c r="L658" s="8">
        <f t="shared" si="1"/>
        <v>1.701258932</v>
      </c>
      <c r="M658" s="18">
        <f t="shared" si="2"/>
        <v>17.01258932</v>
      </c>
      <c r="N658" s="18" t="str">
        <f t="shared" si="3"/>
        <v>Put Spread</v>
      </c>
      <c r="O658" s="18" t="str">
        <f t="shared" si="4"/>
        <v>Success</v>
      </c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</row>
    <row r="659">
      <c r="A659" s="13" t="s">
        <v>682</v>
      </c>
      <c r="B659" s="14" t="s">
        <v>18</v>
      </c>
      <c r="C659" s="15">
        <v>45.04</v>
      </c>
      <c r="D659" s="13" t="s">
        <v>19</v>
      </c>
      <c r="E659" s="15">
        <v>42.94</v>
      </c>
      <c r="F659" s="15">
        <v>5.0</v>
      </c>
      <c r="G659" s="15">
        <v>2.0</v>
      </c>
      <c r="H659" s="15">
        <v>4.0</v>
      </c>
      <c r="I659" s="16">
        <v>-0.9462586</v>
      </c>
      <c r="J659" s="17">
        <f>IFERROR(__xludf.DUMMYFUNCTION("INDEX(GOOGLEFINANCE(A659, ""open"", $J$1, $J$1), 2, 2)"),43.91)</f>
        <v>43.91</v>
      </c>
      <c r="K659" s="17">
        <f>IFERROR(__xludf.DUMMYFUNCTION("INDEX(GOOGLEFINANCE(A659, ""close"", $K$1, $K$1), 2, 2)"),44.67)</f>
        <v>44.67</v>
      </c>
      <c r="L659" s="20">
        <f t="shared" si="1"/>
        <v>1.730813027</v>
      </c>
      <c r="M659" s="18">
        <f t="shared" si="2"/>
        <v>17.30813027</v>
      </c>
      <c r="N659" s="18" t="str">
        <f t="shared" si="3"/>
        <v>Put Spread</v>
      </c>
      <c r="O659" s="18" t="str">
        <f t="shared" si="4"/>
        <v>Success</v>
      </c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</row>
    <row r="660">
      <c r="A660" s="13" t="s">
        <v>683</v>
      </c>
      <c r="B660" s="14" t="s">
        <v>18</v>
      </c>
      <c r="C660" s="15">
        <v>148.18</v>
      </c>
      <c r="D660" s="13" t="s">
        <v>19</v>
      </c>
      <c r="E660" s="15">
        <v>126.76</v>
      </c>
      <c r="F660" s="15">
        <v>5.0</v>
      </c>
      <c r="G660" s="15">
        <v>3.0</v>
      </c>
      <c r="H660" s="15">
        <v>5.0</v>
      </c>
      <c r="I660" s="16">
        <v>-0.3212614</v>
      </c>
      <c r="J660" s="17">
        <f>IFERROR(__xludf.DUMMYFUNCTION("INDEX(GOOGLEFINANCE(A660, ""open"", $J$1, $J$1), 2, 2)"),139.13)</f>
        <v>139.13</v>
      </c>
      <c r="K660" s="17">
        <f>IFERROR(__xludf.DUMMYFUNCTION("INDEX(GOOGLEFINANCE(A660, ""close"", $K$1, $K$1), 2, 2)"),145.6)</f>
        <v>145.6</v>
      </c>
      <c r="L660" s="8">
        <f t="shared" si="1"/>
        <v>4.650327032</v>
      </c>
      <c r="M660" s="18">
        <f t="shared" si="2"/>
        <v>46.50327032</v>
      </c>
      <c r="N660" s="18" t="str">
        <f t="shared" si="3"/>
        <v>Put Spread</v>
      </c>
      <c r="O660" s="18" t="str">
        <f t="shared" si="4"/>
        <v>Success</v>
      </c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</row>
    <row r="661">
      <c r="A661" s="13" t="s">
        <v>684</v>
      </c>
      <c r="B661" s="14" t="s">
        <v>18</v>
      </c>
      <c r="C661" s="15">
        <v>70.55</v>
      </c>
      <c r="D661" s="13" t="s">
        <v>19</v>
      </c>
      <c r="E661" s="15">
        <v>64.95</v>
      </c>
      <c r="F661" s="15">
        <v>4.0</v>
      </c>
      <c r="G661" s="15">
        <v>2.0</v>
      </c>
      <c r="H661" s="15">
        <v>4.0</v>
      </c>
      <c r="I661" s="16">
        <v>3.58177884118067</v>
      </c>
      <c r="J661" s="17">
        <f>IFERROR(__xludf.DUMMYFUNCTION("INDEX(GOOGLEFINANCE(A661, ""open"", $J$1, $J$1), 2, 2)"),67.63)</f>
        <v>67.63</v>
      </c>
      <c r="K661" s="17">
        <f>IFERROR(__xludf.DUMMYFUNCTION("INDEX(GOOGLEFINANCE(A661, ""close"", $K$1, $K$1), 2, 2)"),68.83)</f>
        <v>68.83</v>
      </c>
      <c r="L661" s="8">
        <f t="shared" si="1"/>
        <v>1.774360491</v>
      </c>
      <c r="M661" s="18">
        <f t="shared" si="2"/>
        <v>17.74360491</v>
      </c>
      <c r="N661" s="18" t="str">
        <f t="shared" si="3"/>
        <v>Put Spread</v>
      </c>
      <c r="O661" s="18" t="str">
        <f t="shared" si="4"/>
        <v>Success</v>
      </c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</row>
    <row r="662">
      <c r="A662" s="13" t="s">
        <v>685</v>
      </c>
      <c r="B662" s="14" t="s">
        <v>18</v>
      </c>
      <c r="C662" s="15">
        <v>15.2</v>
      </c>
      <c r="D662" s="13" t="s">
        <v>19</v>
      </c>
      <c r="E662" s="15">
        <v>13.72</v>
      </c>
      <c r="F662" s="15">
        <v>4.0</v>
      </c>
      <c r="G662" s="15">
        <v>2.0</v>
      </c>
      <c r="H662" s="15">
        <v>3.0</v>
      </c>
      <c r="I662" s="16">
        <v>0.0</v>
      </c>
      <c r="J662" s="17">
        <f>IFERROR(__xludf.DUMMYFUNCTION("INDEX(GOOGLEFINANCE(A662, ""open"", $J$1, $J$1), 2, 2)"),14.57)</f>
        <v>14.57</v>
      </c>
      <c r="K662" s="17">
        <f>IFERROR(__xludf.DUMMYFUNCTION("INDEX(GOOGLEFINANCE(A662, ""close"", $K$1, $K$1), 2, 2)"),14.83)</f>
        <v>14.83</v>
      </c>
      <c r="L662" s="8">
        <f t="shared" si="1"/>
        <v>1.784488675</v>
      </c>
      <c r="M662" s="18">
        <f t="shared" si="2"/>
        <v>17.84488675</v>
      </c>
      <c r="N662" s="18" t="str">
        <f t="shared" si="3"/>
        <v>Put Spread</v>
      </c>
      <c r="O662" s="18" t="str">
        <f t="shared" si="4"/>
        <v>Success</v>
      </c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</row>
    <row r="663">
      <c r="A663" s="13" t="s">
        <v>686</v>
      </c>
      <c r="B663" s="26" t="s">
        <v>47</v>
      </c>
      <c r="C663" s="15">
        <v>12.78</v>
      </c>
      <c r="D663" s="13" t="s">
        <v>48</v>
      </c>
      <c r="E663" s="15">
        <v>14.88</v>
      </c>
      <c r="F663" s="15">
        <v>0.0</v>
      </c>
      <c r="G663" s="15">
        <v>0.0</v>
      </c>
      <c r="H663" s="15">
        <v>0.0</v>
      </c>
      <c r="I663" s="16">
        <v>0.0</v>
      </c>
      <c r="J663" s="17">
        <f>IFERROR(__xludf.DUMMYFUNCTION("INDEX(GOOGLEFINANCE(A663, ""open"", $J$1, $J$1), 2, 2)"),13.87)</f>
        <v>13.87</v>
      </c>
      <c r="K663" s="17">
        <f>IFERROR(__xludf.DUMMYFUNCTION("INDEX(GOOGLEFINANCE(A663, ""close"", $K$1, $K$1), 2, 2)"),13.62)</f>
        <v>13.62</v>
      </c>
      <c r="L663" s="20">
        <f t="shared" si="1"/>
        <v>1.802451334</v>
      </c>
      <c r="M663" s="18">
        <f t="shared" si="2"/>
        <v>18.02451334</v>
      </c>
      <c r="N663" s="18" t="str">
        <f t="shared" si="3"/>
        <v>Call Spread</v>
      </c>
      <c r="O663" s="18" t="str">
        <f t="shared" si="4"/>
        <v>Success</v>
      </c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</row>
    <row r="664">
      <c r="A664" s="13" t="s">
        <v>687</v>
      </c>
      <c r="B664" s="14" t="s">
        <v>18</v>
      </c>
      <c r="C664" s="15">
        <v>275.84</v>
      </c>
      <c r="D664" s="13" t="s">
        <v>19</v>
      </c>
      <c r="E664" s="15">
        <v>253.8</v>
      </c>
      <c r="F664" s="15">
        <v>3.0</v>
      </c>
      <c r="G664" s="15">
        <v>3.0</v>
      </c>
      <c r="H664" s="15">
        <v>5.0</v>
      </c>
      <c r="I664" s="16">
        <v>2.3176903656745</v>
      </c>
      <c r="J664" s="17">
        <f>IFERROR(__xludf.DUMMYFUNCTION("INDEX(GOOGLEFINANCE(A664, ""open"", $J$1, $J$1), 2, 2)"),265.0)</f>
        <v>265</v>
      </c>
      <c r="K664" s="17">
        <f>IFERROR(__xludf.DUMMYFUNCTION("INDEX(GOOGLEFINANCE(A664, ""close"", $K$1, $K$1), 2, 2)"),278.86)</f>
        <v>278.86</v>
      </c>
      <c r="L664" s="8">
        <f t="shared" si="1"/>
        <v>5.230188679</v>
      </c>
      <c r="M664" s="18">
        <f t="shared" si="2"/>
        <v>52.30188679</v>
      </c>
      <c r="N664" s="18" t="str">
        <f t="shared" si="3"/>
        <v>Put Spread</v>
      </c>
      <c r="O664" s="18" t="str">
        <f t="shared" si="4"/>
        <v>Success</v>
      </c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</row>
    <row r="665">
      <c r="A665" s="13" t="s">
        <v>688</v>
      </c>
      <c r="B665" s="14" t="s">
        <v>18</v>
      </c>
      <c r="C665" s="15">
        <v>68.67</v>
      </c>
      <c r="D665" s="13" t="s">
        <v>19</v>
      </c>
      <c r="E665" s="15">
        <v>64.25</v>
      </c>
      <c r="F665" s="15">
        <v>5.0</v>
      </c>
      <c r="G665" s="15">
        <v>3.0</v>
      </c>
      <c r="H665" s="15">
        <v>4.0</v>
      </c>
      <c r="I665" s="16">
        <v>0.0</v>
      </c>
      <c r="J665" s="17">
        <f>IFERROR(__xludf.DUMMYFUNCTION("INDEX(GOOGLEFINANCE(A665, ""open"", $J$1, $J$1), 2, 2)"),66.29)</f>
        <v>66.29</v>
      </c>
      <c r="K665" s="17">
        <f>IFERROR(__xludf.DUMMYFUNCTION("INDEX(GOOGLEFINANCE(A665, ""close"", $K$1, $K$1), 2, 2)"),67.5)</f>
        <v>67.5</v>
      </c>
      <c r="L665" s="8">
        <f t="shared" si="1"/>
        <v>1.825313019</v>
      </c>
      <c r="M665" s="18">
        <f t="shared" si="2"/>
        <v>18.25313019</v>
      </c>
      <c r="N665" s="18" t="str">
        <f t="shared" si="3"/>
        <v>Put Spread</v>
      </c>
      <c r="O665" s="18" t="str">
        <f t="shared" si="4"/>
        <v>Success</v>
      </c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</row>
    <row r="666">
      <c r="A666" s="13" t="s">
        <v>689</v>
      </c>
      <c r="B666" s="14" t="s">
        <v>18</v>
      </c>
      <c r="C666" s="15">
        <v>139.93</v>
      </c>
      <c r="D666" s="13" t="s">
        <v>19</v>
      </c>
      <c r="E666" s="15">
        <v>130.33</v>
      </c>
      <c r="F666" s="15">
        <v>5.0</v>
      </c>
      <c r="G666" s="15">
        <v>1.0</v>
      </c>
      <c r="H666" s="15">
        <v>5.0</v>
      </c>
      <c r="I666" s="16">
        <v>0.0</v>
      </c>
      <c r="J666" s="17">
        <f>IFERROR(__xludf.DUMMYFUNCTION("INDEX(GOOGLEFINANCE(A666, ""open"", $J$1, $J$1), 2, 2)"),134.76)</f>
        <v>134.76</v>
      </c>
      <c r="K666" s="17">
        <f>IFERROR(__xludf.DUMMYFUNCTION("INDEX(GOOGLEFINANCE(A666, ""close"", $K$1, $K$1), 2, 2)"),137.24)</f>
        <v>137.24</v>
      </c>
      <c r="L666" s="8">
        <f t="shared" si="1"/>
        <v>1.840308697</v>
      </c>
      <c r="M666" s="18">
        <f t="shared" si="2"/>
        <v>18.40308697</v>
      </c>
      <c r="N666" s="18" t="str">
        <f t="shared" si="3"/>
        <v>Put Spread</v>
      </c>
      <c r="O666" s="18" t="str">
        <f t="shared" si="4"/>
        <v>Success</v>
      </c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</row>
    <row r="667">
      <c r="A667" s="13" t="s">
        <v>690</v>
      </c>
      <c r="B667" s="14" t="s">
        <v>18</v>
      </c>
      <c r="C667" s="15">
        <v>28.36</v>
      </c>
      <c r="D667" s="13" t="s">
        <v>19</v>
      </c>
      <c r="E667" s="15">
        <v>26.42</v>
      </c>
      <c r="F667" s="15">
        <v>2.0</v>
      </c>
      <c r="G667" s="15">
        <v>3.0</v>
      </c>
      <c r="H667" s="15">
        <v>2.0</v>
      </c>
      <c r="I667" s="16">
        <v>-0.5320414</v>
      </c>
      <c r="J667" s="17">
        <f>IFERROR(__xludf.DUMMYFUNCTION("INDEX(GOOGLEFINANCE(A667, ""open"", $J$1, $J$1), 2, 2)"),27.58)</f>
        <v>27.58</v>
      </c>
      <c r="K667" s="17">
        <f>IFERROR(__xludf.DUMMYFUNCTION("INDEX(GOOGLEFINANCE(A667, ""close"", $K$1, $K$1), 2, 2)"),28.1)</f>
        <v>28.1</v>
      </c>
      <c r="L667" s="8">
        <f t="shared" si="1"/>
        <v>1.88542422</v>
      </c>
      <c r="M667" s="18">
        <f t="shared" si="2"/>
        <v>18.8542422</v>
      </c>
      <c r="N667" s="18" t="str">
        <f t="shared" si="3"/>
        <v>Put Spread</v>
      </c>
      <c r="O667" s="18" t="str">
        <f t="shared" si="4"/>
        <v>Success</v>
      </c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</row>
    <row r="668">
      <c r="A668" s="13" t="s">
        <v>691</v>
      </c>
      <c r="B668" s="14" t="s">
        <v>18</v>
      </c>
      <c r="C668" s="15">
        <v>194.16</v>
      </c>
      <c r="D668" s="13" t="s">
        <v>19</v>
      </c>
      <c r="E668" s="15">
        <v>180.08</v>
      </c>
      <c r="F668" s="15">
        <v>5.0</v>
      </c>
      <c r="G668" s="15">
        <v>2.0</v>
      </c>
      <c r="H668" s="15">
        <v>4.0</v>
      </c>
      <c r="I668" s="16">
        <v>1.17276646</v>
      </c>
      <c r="J668" s="17">
        <f>IFERROR(__xludf.DUMMYFUNCTION("INDEX(GOOGLEFINANCE(A668, ""open"", $J$1, $J$1), 2, 2)"),185.57)</f>
        <v>185.57</v>
      </c>
      <c r="K668" s="17">
        <f>IFERROR(__xludf.DUMMYFUNCTION("INDEX(GOOGLEFINANCE(A668, ""close"", $K$1, $K$1), 2, 2)"),189.01)</f>
        <v>189.01</v>
      </c>
      <c r="L668" s="20">
        <f t="shared" si="1"/>
        <v>1.853747912</v>
      </c>
      <c r="M668" s="18">
        <f t="shared" si="2"/>
        <v>18.53747912</v>
      </c>
      <c r="N668" s="18" t="str">
        <f t="shared" si="3"/>
        <v>Put Spread</v>
      </c>
      <c r="O668" s="18" t="str">
        <f t="shared" si="4"/>
        <v>Success</v>
      </c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</row>
    <row r="669">
      <c r="A669" s="13" t="s">
        <v>692</v>
      </c>
      <c r="B669" s="14" t="s">
        <v>18</v>
      </c>
      <c r="C669" s="15">
        <v>95.81</v>
      </c>
      <c r="D669" s="13" t="s">
        <v>19</v>
      </c>
      <c r="E669" s="15">
        <v>90.13</v>
      </c>
      <c r="F669" s="15">
        <v>4.0</v>
      </c>
      <c r="G669" s="15">
        <v>1.0</v>
      </c>
      <c r="H669" s="15">
        <v>5.0</v>
      </c>
      <c r="I669" s="16">
        <v>0.638403238702917</v>
      </c>
      <c r="J669" s="17">
        <f>IFERROR(__xludf.DUMMYFUNCTION("INDEX(GOOGLEFINANCE(A669, ""open"", $J$1, $J$1), 2, 2)"),92.85)</f>
        <v>92.85</v>
      </c>
      <c r="K669" s="17">
        <f>IFERROR(__xludf.DUMMYFUNCTION("INDEX(GOOGLEFINANCE(A669, ""close"", $K$1, $K$1), 2, 2)"),94.6)</f>
        <v>94.6</v>
      </c>
      <c r="L669" s="8">
        <f t="shared" si="1"/>
        <v>1.884760366</v>
      </c>
      <c r="M669" s="18">
        <f t="shared" si="2"/>
        <v>18.84760366</v>
      </c>
      <c r="N669" s="18" t="str">
        <f t="shared" si="3"/>
        <v>Put Spread</v>
      </c>
      <c r="O669" s="18" t="str">
        <f t="shared" si="4"/>
        <v>Success</v>
      </c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</row>
    <row r="670">
      <c r="A670" s="13" t="s">
        <v>693</v>
      </c>
      <c r="B670" s="14" t="s">
        <v>18</v>
      </c>
      <c r="C670" s="15">
        <v>4.31</v>
      </c>
      <c r="D670" s="13" t="s">
        <v>19</v>
      </c>
      <c r="E670" s="15">
        <v>3.05</v>
      </c>
      <c r="F670" s="15">
        <v>5.0</v>
      </c>
      <c r="G670" s="15">
        <v>3.0</v>
      </c>
      <c r="H670" s="15">
        <v>5.0</v>
      </c>
      <c r="I670" s="16">
        <v>0.269146510218048</v>
      </c>
      <c r="J670" s="17">
        <f>IFERROR(__xludf.DUMMYFUNCTION("INDEX(GOOGLEFINANCE(A670, ""open"", $J$1, $J$1), 2, 2)"),3.68)</f>
        <v>3.68</v>
      </c>
      <c r="K670" s="17">
        <f>IFERROR(__xludf.DUMMYFUNCTION("INDEX(GOOGLEFINANCE(A670, ""close"", $K$1, $K$1), 2, 2)"),3.75)</f>
        <v>3.75</v>
      </c>
      <c r="L670" s="8">
        <f t="shared" si="1"/>
        <v>1.902173913</v>
      </c>
      <c r="M670" s="18">
        <f t="shared" si="2"/>
        <v>19.02173913</v>
      </c>
      <c r="N670" s="18" t="str">
        <f t="shared" si="3"/>
        <v>Put Spread</v>
      </c>
      <c r="O670" s="18" t="str">
        <f t="shared" si="4"/>
        <v>Success</v>
      </c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</row>
    <row r="671">
      <c r="A671" s="13" t="s">
        <v>694</v>
      </c>
      <c r="B671" s="26" t="s">
        <v>47</v>
      </c>
      <c r="C671" s="15">
        <v>1137.83</v>
      </c>
      <c r="D671" s="13" t="s">
        <v>48</v>
      </c>
      <c r="E671" s="15">
        <v>1223.15</v>
      </c>
      <c r="F671" s="15">
        <v>1.0</v>
      </c>
      <c r="G671" s="15">
        <v>1.0</v>
      </c>
      <c r="H671" s="15">
        <v>2.0</v>
      </c>
      <c r="I671" s="16">
        <v>-0.7996224</v>
      </c>
      <c r="J671" s="17">
        <f>IFERROR(__xludf.DUMMYFUNCTION("INDEX(GOOGLEFINANCE(A671, ""open"", $J$1, $J$1), 2, 2)"),1181.2)</f>
        <v>1181.2</v>
      </c>
      <c r="K671" s="17">
        <f>IFERROR(__xludf.DUMMYFUNCTION("INDEX(GOOGLEFINANCE(A671, ""close"", $K$1, $K$1), 2, 2)"),1158.6)</f>
        <v>1158.6</v>
      </c>
      <c r="L671" s="8">
        <f t="shared" si="1"/>
        <v>1.9133085</v>
      </c>
      <c r="M671" s="18">
        <f t="shared" si="2"/>
        <v>19.133085</v>
      </c>
      <c r="N671" s="18" t="str">
        <f t="shared" si="3"/>
        <v>Call Spread</v>
      </c>
      <c r="O671" s="18" t="str">
        <f t="shared" si="4"/>
        <v>Success</v>
      </c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</row>
    <row r="672">
      <c r="A672" s="13" t="s">
        <v>695</v>
      </c>
      <c r="B672" s="14" t="s">
        <v>18</v>
      </c>
      <c r="C672" s="15">
        <v>529.43</v>
      </c>
      <c r="D672" s="13" t="s">
        <v>19</v>
      </c>
      <c r="E672" s="15">
        <v>497.99</v>
      </c>
      <c r="F672" s="15">
        <v>3.0</v>
      </c>
      <c r="G672" s="15">
        <v>2.0</v>
      </c>
      <c r="H672" s="15">
        <v>4.0</v>
      </c>
      <c r="I672" s="16">
        <v>-3.3939164</v>
      </c>
      <c r="J672" s="17">
        <f>IFERROR(__xludf.DUMMYFUNCTION("INDEX(GOOGLEFINANCE(A672, ""open"", $J$1, $J$1), 2, 2)"),514.08)</f>
        <v>514.08</v>
      </c>
      <c r="K672" s="17">
        <f>IFERROR(__xludf.DUMMYFUNCTION("INDEX(GOOGLEFINANCE(A672, ""close"", $K$1, $K$1), 2, 2)"),524.11)</f>
        <v>524.11</v>
      </c>
      <c r="L672" s="8">
        <f t="shared" si="1"/>
        <v>1.951058201</v>
      </c>
      <c r="M672" s="18">
        <f t="shared" si="2"/>
        <v>19.51058201</v>
      </c>
      <c r="N672" s="18" t="str">
        <f t="shared" si="3"/>
        <v>Put Spread</v>
      </c>
      <c r="O672" s="18" t="str">
        <f t="shared" si="4"/>
        <v>Success</v>
      </c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</row>
    <row r="673">
      <c r="A673" s="13" t="s">
        <v>696</v>
      </c>
      <c r="B673" s="14" t="s">
        <v>18</v>
      </c>
      <c r="C673" s="15">
        <v>307.04</v>
      </c>
      <c r="D673" s="13" t="s">
        <v>19</v>
      </c>
      <c r="E673" s="15">
        <v>289.9</v>
      </c>
      <c r="F673" s="15">
        <v>5.0</v>
      </c>
      <c r="G673" s="15">
        <v>3.0</v>
      </c>
      <c r="H673" s="15">
        <v>4.0</v>
      </c>
      <c r="I673" s="16">
        <v>-0.2242332</v>
      </c>
      <c r="J673" s="17">
        <f>IFERROR(__xludf.DUMMYFUNCTION("INDEX(GOOGLEFINANCE(A673, ""open"", $J$1, $J$1), 2, 2)"),297.06)</f>
        <v>297.06</v>
      </c>
      <c r="K673" s="17">
        <f>IFERROR(__xludf.DUMMYFUNCTION("INDEX(GOOGLEFINANCE(A673, ""close"", $K$1, $K$1), 2, 2)"),302.89)</f>
        <v>302.89</v>
      </c>
      <c r="L673" s="20">
        <f t="shared" si="1"/>
        <v>1.962566485</v>
      </c>
      <c r="M673" s="18">
        <f t="shared" si="2"/>
        <v>19.62566485</v>
      </c>
      <c r="N673" s="18" t="str">
        <f t="shared" si="3"/>
        <v>Put Spread</v>
      </c>
      <c r="O673" s="18" t="str">
        <f t="shared" si="4"/>
        <v>Success</v>
      </c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</row>
    <row r="674">
      <c r="A674" s="13" t="s">
        <v>697</v>
      </c>
      <c r="B674" s="26" t="s">
        <v>47</v>
      </c>
      <c r="C674" s="15">
        <v>74.42</v>
      </c>
      <c r="D674" s="13" t="s">
        <v>48</v>
      </c>
      <c r="E674" s="15">
        <v>85.38</v>
      </c>
      <c r="F674" s="15">
        <v>3.0</v>
      </c>
      <c r="G674" s="15">
        <v>2.0</v>
      </c>
      <c r="H674" s="15">
        <v>3.0</v>
      </c>
      <c r="I674" s="16">
        <v>1.11369531791286</v>
      </c>
      <c r="J674" s="17">
        <f>IFERROR(__xludf.DUMMYFUNCTION("INDEX(GOOGLEFINANCE(A674, ""open"", $J$1, $J$1), 2, 2)"),79.91)</f>
        <v>79.91</v>
      </c>
      <c r="K674" s="17">
        <f>IFERROR(__xludf.DUMMYFUNCTION("INDEX(GOOGLEFINANCE(A674, ""close"", $K$1, $K$1), 2, 2)"),78.31)</f>
        <v>78.31</v>
      </c>
      <c r="L674" s="8">
        <f t="shared" si="1"/>
        <v>2.002252534</v>
      </c>
      <c r="M674" s="18">
        <f t="shared" si="2"/>
        <v>20.02252534</v>
      </c>
      <c r="N674" s="18" t="str">
        <f t="shared" si="3"/>
        <v>Call Spread</v>
      </c>
      <c r="O674" s="18" t="str">
        <f t="shared" si="4"/>
        <v>Success</v>
      </c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</row>
    <row r="675">
      <c r="A675" s="13" t="s">
        <v>698</v>
      </c>
      <c r="B675" s="26" t="s">
        <v>47</v>
      </c>
      <c r="C675" s="15">
        <v>276.32</v>
      </c>
      <c r="D675" s="13" t="s">
        <v>48</v>
      </c>
      <c r="E675" s="15">
        <v>298.66</v>
      </c>
      <c r="F675" s="15">
        <v>0.0</v>
      </c>
      <c r="G675" s="15">
        <v>1.0</v>
      </c>
      <c r="H675" s="15">
        <v>4.0</v>
      </c>
      <c r="I675" s="16">
        <v>0.0</v>
      </c>
      <c r="J675" s="17">
        <f>IFERROR(__xludf.DUMMYFUNCTION("INDEX(GOOGLEFINANCE(A675, ""open"", $J$1, $J$1), 2, 2)"),289.78)</f>
        <v>289.78</v>
      </c>
      <c r="K675" s="17">
        <f>IFERROR(__xludf.DUMMYFUNCTION("INDEX(GOOGLEFINANCE(A675, ""close"", $K$1, $K$1), 2, 2)"),283.95)</f>
        <v>283.95</v>
      </c>
      <c r="L675" s="8">
        <f t="shared" si="1"/>
        <v>2.011871075</v>
      </c>
      <c r="M675" s="18">
        <f t="shared" si="2"/>
        <v>20.11871075</v>
      </c>
      <c r="N675" s="18" t="str">
        <f t="shared" si="3"/>
        <v>Call Spread</v>
      </c>
      <c r="O675" s="18" t="str">
        <f t="shared" si="4"/>
        <v>Success</v>
      </c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</row>
    <row r="676">
      <c r="A676" s="13" t="s">
        <v>699</v>
      </c>
      <c r="B676" s="14" t="s">
        <v>18</v>
      </c>
      <c r="C676" s="15">
        <v>25.44</v>
      </c>
      <c r="D676" s="13" t="s">
        <v>19</v>
      </c>
      <c r="E676" s="15">
        <v>22.2</v>
      </c>
      <c r="F676" s="15">
        <v>5.0</v>
      </c>
      <c r="G676" s="15">
        <v>2.0</v>
      </c>
      <c r="H676" s="15">
        <v>4.0</v>
      </c>
      <c r="I676" s="16">
        <v>0.0</v>
      </c>
      <c r="J676" s="17">
        <f>IFERROR(__xludf.DUMMYFUNCTION("INDEX(GOOGLEFINANCE(A676, ""open"", $J$1, $J$1), 2, 2)"),24.01)</f>
        <v>24.01</v>
      </c>
      <c r="K676" s="17">
        <f>IFERROR(__xludf.DUMMYFUNCTION("INDEX(GOOGLEFINANCE(A676, ""close"", $K$1, $K$1), 2, 2)"),24.5)</f>
        <v>24.5</v>
      </c>
      <c r="L676" s="8">
        <f t="shared" si="1"/>
        <v>2.040816327</v>
      </c>
      <c r="M676" s="18">
        <f t="shared" si="2"/>
        <v>20.40816327</v>
      </c>
      <c r="N676" s="18" t="str">
        <f t="shared" si="3"/>
        <v>Put Spread</v>
      </c>
      <c r="O676" s="18" t="str">
        <f t="shared" si="4"/>
        <v>Success</v>
      </c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</row>
    <row r="677">
      <c r="A677" s="13" t="s">
        <v>700</v>
      </c>
      <c r="B677" s="26" t="s">
        <v>47</v>
      </c>
      <c r="C677" s="15">
        <v>52.03</v>
      </c>
      <c r="D677" s="13" t="s">
        <v>48</v>
      </c>
      <c r="E677" s="15">
        <v>55.85</v>
      </c>
      <c r="F677" s="15">
        <v>3.0</v>
      </c>
      <c r="G677" s="15">
        <v>4.0</v>
      </c>
      <c r="H677" s="15">
        <v>0.0</v>
      </c>
      <c r="I677" s="16">
        <v>-1.1900154</v>
      </c>
      <c r="J677" s="17">
        <f>IFERROR(__xludf.DUMMYFUNCTION("INDEX(GOOGLEFINANCE(A677, ""open"", $J$1, $J$1), 2, 2)"),53.63)</f>
        <v>53.63</v>
      </c>
      <c r="K677" s="17">
        <f>IFERROR(__xludf.DUMMYFUNCTION("INDEX(GOOGLEFINANCE(A677, ""close"", $K$1, $K$1), 2, 2)"),52.53)</f>
        <v>52.53</v>
      </c>
      <c r="L677" s="8">
        <f t="shared" si="1"/>
        <v>2.051090807</v>
      </c>
      <c r="M677" s="18">
        <f t="shared" si="2"/>
        <v>20.51090807</v>
      </c>
      <c r="N677" s="18" t="str">
        <f t="shared" si="3"/>
        <v>Call Spread</v>
      </c>
      <c r="O677" s="18" t="str">
        <f t="shared" si="4"/>
        <v>Success</v>
      </c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</row>
    <row r="678">
      <c r="A678" s="13" t="s">
        <v>701</v>
      </c>
      <c r="B678" s="14" t="s">
        <v>18</v>
      </c>
      <c r="C678" s="15">
        <v>21.97</v>
      </c>
      <c r="D678" s="13" t="s">
        <v>19</v>
      </c>
      <c r="E678" s="15">
        <v>21.29</v>
      </c>
      <c r="F678" s="15">
        <v>2.0</v>
      </c>
      <c r="G678" s="15">
        <v>2.0</v>
      </c>
      <c r="H678" s="15">
        <v>1.0</v>
      </c>
      <c r="I678" s="16">
        <v>0.0</v>
      </c>
      <c r="J678" s="17">
        <f>IFERROR(__xludf.DUMMYFUNCTION("INDEX(GOOGLEFINANCE(A678, ""open"", $J$1, $J$1), 2, 2)"),21.52)</f>
        <v>21.52</v>
      </c>
      <c r="K678" s="17">
        <f>IFERROR(__xludf.DUMMYFUNCTION("INDEX(GOOGLEFINANCE(A678, ""close"", $K$1, $K$1), 2, 2)"),21.97)</f>
        <v>21.97</v>
      </c>
      <c r="L678" s="8">
        <f t="shared" si="1"/>
        <v>2.091078067</v>
      </c>
      <c r="M678" s="18">
        <f t="shared" si="2"/>
        <v>20.91078067</v>
      </c>
      <c r="N678" s="18" t="str">
        <f t="shared" si="3"/>
        <v>Put Spread</v>
      </c>
      <c r="O678" s="18" t="str">
        <f t="shared" si="4"/>
        <v>Success</v>
      </c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</row>
    <row r="679">
      <c r="A679" s="13" t="s">
        <v>702</v>
      </c>
      <c r="B679" s="14" t="s">
        <v>18</v>
      </c>
      <c r="C679" s="15">
        <v>197.09</v>
      </c>
      <c r="D679" s="13" t="s">
        <v>19</v>
      </c>
      <c r="E679" s="15">
        <v>183.47</v>
      </c>
      <c r="F679" s="15">
        <v>5.0</v>
      </c>
      <c r="G679" s="15">
        <v>2.0</v>
      </c>
      <c r="H679" s="15">
        <v>3.0</v>
      </c>
      <c r="I679" s="16">
        <v>0.0</v>
      </c>
      <c r="J679" s="17">
        <f>IFERROR(__xludf.DUMMYFUNCTION("INDEX(GOOGLEFINANCE(A679, ""open"", $J$1, $J$1), 2, 2)"),191.21)</f>
        <v>191.21</v>
      </c>
      <c r="K679" s="17">
        <f>IFERROR(__xludf.DUMMYFUNCTION("INDEX(GOOGLEFINANCE(A679, ""close"", $K$1, $K$1), 2, 2)"),195.22)</f>
        <v>195.22</v>
      </c>
      <c r="L679" s="8">
        <f t="shared" si="1"/>
        <v>2.09717065</v>
      </c>
      <c r="M679" s="18">
        <f t="shared" si="2"/>
        <v>20.9717065</v>
      </c>
      <c r="N679" s="18" t="str">
        <f t="shared" si="3"/>
        <v>Put Spread</v>
      </c>
      <c r="O679" s="18" t="str">
        <f t="shared" si="4"/>
        <v>Success</v>
      </c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</row>
    <row r="680">
      <c r="A680" s="13" t="s">
        <v>703</v>
      </c>
      <c r="B680" s="14" t="s">
        <v>18</v>
      </c>
      <c r="C680" s="15">
        <v>87.98</v>
      </c>
      <c r="D680" s="13" t="s">
        <v>19</v>
      </c>
      <c r="E680" s="15">
        <v>84.88</v>
      </c>
      <c r="F680" s="15">
        <v>3.0</v>
      </c>
      <c r="G680" s="15">
        <v>1.0</v>
      </c>
      <c r="H680" s="15">
        <v>3.0</v>
      </c>
      <c r="I680" s="16">
        <v>1.01992320262263</v>
      </c>
      <c r="J680" s="17">
        <f>IFERROR(__xludf.DUMMYFUNCTION("INDEX(GOOGLEFINANCE(A680, ""open"", $J$1, $J$1), 2, 2)"),85.99)</f>
        <v>85.99</v>
      </c>
      <c r="K680" s="17">
        <f>IFERROR(__xludf.DUMMYFUNCTION("INDEX(GOOGLEFINANCE(A680, ""close"", $K$1, $K$1), 2, 2)"),87.82)</f>
        <v>87.82</v>
      </c>
      <c r="L680" s="8">
        <f t="shared" si="1"/>
        <v>2.128154437</v>
      </c>
      <c r="M680" s="18">
        <f t="shared" si="2"/>
        <v>21.28154437</v>
      </c>
      <c r="N680" s="18" t="str">
        <f t="shared" si="3"/>
        <v>Put Spread</v>
      </c>
      <c r="O680" s="18" t="str">
        <f t="shared" si="4"/>
        <v>Success</v>
      </c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</row>
    <row r="681">
      <c r="A681" s="13" t="s">
        <v>704</v>
      </c>
      <c r="B681" s="14" t="s">
        <v>18</v>
      </c>
      <c r="C681" s="15">
        <v>234.58</v>
      </c>
      <c r="D681" s="13" t="s">
        <v>19</v>
      </c>
      <c r="E681" s="15">
        <v>216.16</v>
      </c>
      <c r="F681" s="15">
        <v>2.0</v>
      </c>
      <c r="G681" s="15">
        <v>2.0</v>
      </c>
      <c r="H681" s="15">
        <v>1.0</v>
      </c>
      <c r="I681" s="16">
        <v>0.0</v>
      </c>
      <c r="J681" s="17">
        <f>IFERROR(__xludf.DUMMYFUNCTION("INDEX(GOOGLEFINANCE(A681, ""open"", $J$1, $J$1), 2, 2)"),233.28)</f>
        <v>233.28</v>
      </c>
      <c r="K681" s="17">
        <f>IFERROR(__xludf.DUMMYFUNCTION("INDEX(GOOGLEFINANCE(A681, ""close"", $K$1, $K$1), 2, 2)"),238.31)</f>
        <v>238.31</v>
      </c>
      <c r="L681" s="8">
        <f t="shared" si="1"/>
        <v>2.156207133</v>
      </c>
      <c r="M681" s="18">
        <f t="shared" si="2"/>
        <v>21.56207133</v>
      </c>
      <c r="N681" s="18" t="str">
        <f t="shared" si="3"/>
        <v>Put Spread</v>
      </c>
      <c r="O681" s="18" t="str">
        <f t="shared" si="4"/>
        <v>Success</v>
      </c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</row>
    <row r="682">
      <c r="A682" s="13" t="s">
        <v>705</v>
      </c>
      <c r="B682" s="14" t="s">
        <v>18</v>
      </c>
      <c r="C682" s="15">
        <v>106.38</v>
      </c>
      <c r="D682" s="13" t="s">
        <v>19</v>
      </c>
      <c r="E682" s="15">
        <v>100.18</v>
      </c>
      <c r="F682" s="15">
        <v>5.0</v>
      </c>
      <c r="G682" s="15">
        <v>2.0</v>
      </c>
      <c r="H682" s="15">
        <v>3.0</v>
      </c>
      <c r="I682" s="16">
        <v>3.71833284</v>
      </c>
      <c r="J682" s="17">
        <f>IFERROR(__xludf.DUMMYFUNCTION("INDEX(GOOGLEFINANCE(A682, ""open"", $J$1, $J$1), 2, 2)"),102.51)</f>
        <v>102.51</v>
      </c>
      <c r="K682" s="17">
        <f>IFERROR(__xludf.DUMMYFUNCTION("INDEX(GOOGLEFINANCE(A682, ""close"", $K$1, $K$1), 2, 2)"),104.75)</f>
        <v>104.75</v>
      </c>
      <c r="L682" s="8">
        <f t="shared" si="1"/>
        <v>2.185152668</v>
      </c>
      <c r="M682" s="18">
        <f t="shared" si="2"/>
        <v>21.85152668</v>
      </c>
      <c r="N682" s="18" t="str">
        <f t="shared" si="3"/>
        <v>Put Spread</v>
      </c>
      <c r="O682" s="18" t="str">
        <f t="shared" si="4"/>
        <v>Success</v>
      </c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</row>
    <row r="683">
      <c r="A683" s="13" t="s">
        <v>706</v>
      </c>
      <c r="B683" s="14" t="s">
        <v>18</v>
      </c>
      <c r="C683" s="15">
        <v>102.78</v>
      </c>
      <c r="D683" s="13" t="s">
        <v>19</v>
      </c>
      <c r="E683" s="15">
        <v>97.42</v>
      </c>
      <c r="F683" s="15">
        <v>5.0</v>
      </c>
      <c r="G683" s="15">
        <v>2.0</v>
      </c>
      <c r="H683" s="15">
        <v>5.0</v>
      </c>
      <c r="I683" s="16">
        <v>0.0</v>
      </c>
      <c r="J683" s="17">
        <f>IFERROR(__xludf.DUMMYFUNCTION("INDEX(GOOGLEFINANCE(A683, ""open"", $J$1, $J$1), 2, 2)"),99.92)</f>
        <v>99.92</v>
      </c>
      <c r="K683" s="17">
        <f>IFERROR(__xludf.DUMMYFUNCTION("INDEX(GOOGLEFINANCE(A683, ""close"", $K$1, $K$1), 2, 2)"),102.11)</f>
        <v>102.11</v>
      </c>
      <c r="L683" s="8">
        <f t="shared" si="1"/>
        <v>2.191753403</v>
      </c>
      <c r="M683" s="18">
        <f t="shared" si="2"/>
        <v>21.91753403</v>
      </c>
      <c r="N683" s="18" t="str">
        <f t="shared" si="3"/>
        <v>Put Spread</v>
      </c>
      <c r="O683" s="18" t="str">
        <f t="shared" si="4"/>
        <v>Success</v>
      </c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</row>
    <row r="684">
      <c r="A684" s="13" t="s">
        <v>707</v>
      </c>
      <c r="B684" s="14" t="s">
        <v>18</v>
      </c>
      <c r="C684" s="15">
        <v>74.83</v>
      </c>
      <c r="D684" s="13" t="s">
        <v>19</v>
      </c>
      <c r="E684" s="15">
        <v>70.73</v>
      </c>
      <c r="F684" s="15">
        <v>5.0</v>
      </c>
      <c r="G684" s="15">
        <v>3.0</v>
      </c>
      <c r="H684" s="15">
        <v>4.0</v>
      </c>
      <c r="I684" s="16">
        <v>0.0</v>
      </c>
      <c r="J684" s="17">
        <f>IFERROR(__xludf.DUMMYFUNCTION("INDEX(GOOGLEFINANCE(A684, ""open"", $J$1, $J$1), 2, 2)"),72.49)</f>
        <v>72.49</v>
      </c>
      <c r="K684" s="17">
        <f>IFERROR(__xludf.DUMMYFUNCTION("INDEX(GOOGLEFINANCE(A684, ""close"", $K$1, $K$1), 2, 2)"),74.08)</f>
        <v>74.08</v>
      </c>
      <c r="L684" s="8">
        <f t="shared" si="1"/>
        <v>2.193405987</v>
      </c>
      <c r="M684" s="18">
        <f t="shared" si="2"/>
        <v>21.93405987</v>
      </c>
      <c r="N684" s="18" t="str">
        <f t="shared" si="3"/>
        <v>Put Spread</v>
      </c>
      <c r="O684" s="18" t="str">
        <f t="shared" si="4"/>
        <v>Success</v>
      </c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</row>
    <row r="685">
      <c r="A685" s="13" t="s">
        <v>708</v>
      </c>
      <c r="B685" s="14" t="s">
        <v>18</v>
      </c>
      <c r="C685" s="15">
        <v>159.9</v>
      </c>
      <c r="D685" s="13" t="s">
        <v>19</v>
      </c>
      <c r="E685" s="15">
        <v>141.88</v>
      </c>
      <c r="F685" s="15">
        <v>4.0</v>
      </c>
      <c r="G685" s="15">
        <v>3.0</v>
      </c>
      <c r="H685" s="15">
        <v>4.0</v>
      </c>
      <c r="I685" s="16">
        <v>0.0</v>
      </c>
      <c r="J685" s="17">
        <f>IFERROR(__xludf.DUMMYFUNCTION("INDEX(GOOGLEFINANCE(A685, ""open"", $J$1, $J$1), 2, 2)"),151.48)</f>
        <v>151.48</v>
      </c>
      <c r="K685" s="17">
        <f>IFERROR(__xludf.DUMMYFUNCTION("INDEX(GOOGLEFINANCE(A685, ""close"", $K$1, $K$1), 2, 2)"),154.81)</f>
        <v>154.81</v>
      </c>
      <c r="L685" s="8">
        <f t="shared" si="1"/>
        <v>2.198310008</v>
      </c>
      <c r="M685" s="18">
        <f t="shared" si="2"/>
        <v>21.98310008</v>
      </c>
      <c r="N685" s="18" t="str">
        <f t="shared" si="3"/>
        <v>Put Spread</v>
      </c>
      <c r="O685" s="18" t="str">
        <f t="shared" si="4"/>
        <v>Success</v>
      </c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</row>
    <row r="686">
      <c r="A686" s="13" t="s">
        <v>709</v>
      </c>
      <c r="B686" s="14" t="s">
        <v>18</v>
      </c>
      <c r="C686" s="15">
        <v>630.01</v>
      </c>
      <c r="D686" s="13" t="s">
        <v>19</v>
      </c>
      <c r="E686" s="15">
        <v>573.09</v>
      </c>
      <c r="F686" s="15">
        <v>5.0</v>
      </c>
      <c r="G686" s="15">
        <v>1.0</v>
      </c>
      <c r="H686" s="15">
        <v>5.0</v>
      </c>
      <c r="I686" s="16">
        <v>-1.3227439</v>
      </c>
      <c r="J686" s="17">
        <f>IFERROR(__xludf.DUMMYFUNCTION("INDEX(GOOGLEFINANCE(A686, ""open"", $J$1, $J$1), 2, 2)"),605.28)</f>
        <v>605.28</v>
      </c>
      <c r="K686" s="17">
        <f>IFERROR(__xludf.DUMMYFUNCTION("INDEX(GOOGLEFINANCE(A686, ""close"", $K$1, $K$1), 2, 2)"),618.65)</f>
        <v>618.65</v>
      </c>
      <c r="L686" s="8">
        <f t="shared" si="1"/>
        <v>2.208895057</v>
      </c>
      <c r="M686" s="18">
        <f t="shared" si="2"/>
        <v>22.08895057</v>
      </c>
      <c r="N686" s="18" t="str">
        <f t="shared" si="3"/>
        <v>Put Spread</v>
      </c>
      <c r="O686" s="18" t="str">
        <f t="shared" si="4"/>
        <v>Success</v>
      </c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</row>
    <row r="687">
      <c r="A687" s="13" t="s">
        <v>710</v>
      </c>
      <c r="B687" s="14" t="s">
        <v>18</v>
      </c>
      <c r="C687" s="15">
        <v>121.54</v>
      </c>
      <c r="D687" s="13" t="s">
        <v>19</v>
      </c>
      <c r="E687" s="15">
        <v>107.02</v>
      </c>
      <c r="F687" s="15">
        <v>5.0</v>
      </c>
      <c r="G687" s="15">
        <v>2.0</v>
      </c>
      <c r="H687" s="15">
        <v>4.0</v>
      </c>
      <c r="I687" s="16">
        <v>0.0</v>
      </c>
      <c r="J687" s="17">
        <f>IFERROR(__xludf.DUMMYFUNCTION("INDEX(GOOGLEFINANCE(A687, ""open"", $J$1, $J$1), 2, 2)"),115.0)</f>
        <v>115</v>
      </c>
      <c r="K687" s="17">
        <f>IFERROR(__xludf.DUMMYFUNCTION("INDEX(GOOGLEFINANCE(A687, ""close"", $K$1, $K$1), 2, 2)"),117.57)</f>
        <v>117.57</v>
      </c>
      <c r="L687" s="8">
        <f t="shared" si="1"/>
        <v>2.234782609</v>
      </c>
      <c r="M687" s="18">
        <f t="shared" si="2"/>
        <v>22.34782609</v>
      </c>
      <c r="N687" s="18" t="str">
        <f t="shared" si="3"/>
        <v>Put Spread</v>
      </c>
      <c r="O687" s="18" t="str">
        <f t="shared" si="4"/>
        <v>Success</v>
      </c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</row>
    <row r="688">
      <c r="A688" s="13" t="s">
        <v>711</v>
      </c>
      <c r="B688" s="26" t="s">
        <v>47</v>
      </c>
      <c r="C688" s="15">
        <v>236.77</v>
      </c>
      <c r="D688" s="13" t="s">
        <v>48</v>
      </c>
      <c r="E688" s="15">
        <v>255.75</v>
      </c>
      <c r="F688" s="15">
        <v>1.0</v>
      </c>
      <c r="G688" s="15">
        <v>1.0</v>
      </c>
      <c r="H688" s="15">
        <v>1.0</v>
      </c>
      <c r="I688" s="16">
        <v>0.0</v>
      </c>
      <c r="J688" s="17">
        <f>IFERROR(__xludf.DUMMYFUNCTION("INDEX(GOOGLEFINANCE(A688, ""open"", $J$1, $J$1), 2, 2)"),245.54)</f>
        <v>245.54</v>
      </c>
      <c r="K688" s="17">
        <f>IFERROR(__xludf.DUMMYFUNCTION("INDEX(GOOGLEFINANCE(A688, ""close"", $K$1, $K$1), 2, 2)"),239.99)</f>
        <v>239.99</v>
      </c>
      <c r="L688" s="20">
        <f t="shared" si="1"/>
        <v>2.260324183</v>
      </c>
      <c r="M688" s="18">
        <f t="shared" si="2"/>
        <v>22.60324183</v>
      </c>
      <c r="N688" s="18" t="str">
        <f t="shared" si="3"/>
        <v>Call Spread</v>
      </c>
      <c r="O688" s="18" t="str">
        <f t="shared" si="4"/>
        <v>Success</v>
      </c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</row>
    <row r="689">
      <c r="A689" s="13" t="s">
        <v>712</v>
      </c>
      <c r="B689" s="14" t="s">
        <v>18</v>
      </c>
      <c r="C689" s="15">
        <v>202.16</v>
      </c>
      <c r="D689" s="13" t="s">
        <v>19</v>
      </c>
      <c r="E689" s="15">
        <v>189.24</v>
      </c>
      <c r="F689" s="15">
        <v>2.0</v>
      </c>
      <c r="G689" s="15">
        <v>1.0</v>
      </c>
      <c r="H689" s="15">
        <v>3.0</v>
      </c>
      <c r="I689" s="16">
        <v>0.0</v>
      </c>
      <c r="J689" s="17">
        <f>IFERROR(__xludf.DUMMYFUNCTION("INDEX(GOOGLEFINANCE(A689, ""open"", $J$1, $J$1), 2, 2)"),195.12)</f>
        <v>195.12</v>
      </c>
      <c r="K689" s="17">
        <f>IFERROR(__xludf.DUMMYFUNCTION("INDEX(GOOGLEFINANCE(A689, ""close"", $K$1, $K$1), 2, 2)"),199.77)</f>
        <v>199.77</v>
      </c>
      <c r="L689" s="8">
        <f t="shared" si="1"/>
        <v>2.383148831</v>
      </c>
      <c r="M689" s="18">
        <f t="shared" si="2"/>
        <v>23.83148831</v>
      </c>
      <c r="N689" s="18" t="str">
        <f t="shared" si="3"/>
        <v>Put Spread</v>
      </c>
      <c r="O689" s="18" t="str">
        <f t="shared" si="4"/>
        <v>Success</v>
      </c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</row>
    <row r="690">
      <c r="A690" s="13" t="s">
        <v>713</v>
      </c>
      <c r="B690" s="14" t="s">
        <v>18</v>
      </c>
      <c r="C690" s="15">
        <v>98.61</v>
      </c>
      <c r="D690" s="13" t="s">
        <v>19</v>
      </c>
      <c r="E690" s="15">
        <v>90.43</v>
      </c>
      <c r="F690" s="15">
        <v>5.0</v>
      </c>
      <c r="G690" s="15">
        <v>2.0</v>
      </c>
      <c r="H690" s="15">
        <v>3.0</v>
      </c>
      <c r="I690" s="16">
        <v>0.0</v>
      </c>
      <c r="J690" s="17">
        <f>IFERROR(__xludf.DUMMYFUNCTION("INDEX(GOOGLEFINANCE(A690, ""open"", $J$1, $J$1), 2, 2)"),94.67)</f>
        <v>94.67</v>
      </c>
      <c r="K690" s="17">
        <f>IFERROR(__xludf.DUMMYFUNCTION("INDEX(GOOGLEFINANCE(A690, ""close"", $K$1, $K$1), 2, 2)"),96.96)</f>
        <v>96.96</v>
      </c>
      <c r="L690" s="8">
        <f t="shared" si="1"/>
        <v>2.418928911</v>
      </c>
      <c r="M690" s="18">
        <f t="shared" si="2"/>
        <v>24.18928911</v>
      </c>
      <c r="N690" s="18" t="str">
        <f t="shared" si="3"/>
        <v>Put Spread</v>
      </c>
      <c r="O690" s="18" t="str">
        <f t="shared" si="4"/>
        <v>Success</v>
      </c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</row>
    <row r="691">
      <c r="A691" s="13" t="s">
        <v>714</v>
      </c>
      <c r="B691" s="26" t="s">
        <v>47</v>
      </c>
      <c r="C691" s="15">
        <v>227.77</v>
      </c>
      <c r="D691" s="13" t="s">
        <v>48</v>
      </c>
      <c r="E691" s="15">
        <v>238.51</v>
      </c>
      <c r="F691" s="15">
        <v>1.0</v>
      </c>
      <c r="G691" s="15">
        <v>1.0</v>
      </c>
      <c r="H691" s="15">
        <v>4.0</v>
      </c>
      <c r="I691" s="16">
        <v>0.0</v>
      </c>
      <c r="J691" s="17">
        <f>IFERROR(__xludf.DUMMYFUNCTION("INDEX(GOOGLEFINANCE(A691, ""open"", $J$1, $J$1), 2, 2)"),233.7)</f>
        <v>233.7</v>
      </c>
      <c r="K691" s="17">
        <f>IFERROR(__xludf.DUMMYFUNCTION("INDEX(GOOGLEFINANCE(A691, ""close"", $K$1, $K$1), 2, 2)"),228.02)</f>
        <v>228.02</v>
      </c>
      <c r="L691" s="8">
        <f t="shared" si="1"/>
        <v>2.43046641</v>
      </c>
      <c r="M691" s="18">
        <f t="shared" si="2"/>
        <v>24.3046641</v>
      </c>
      <c r="N691" s="18" t="str">
        <f t="shared" si="3"/>
        <v>Call Spread</v>
      </c>
      <c r="O691" s="18" t="str">
        <f t="shared" si="4"/>
        <v>Success</v>
      </c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</row>
    <row r="692">
      <c r="A692" s="13" t="s">
        <v>715</v>
      </c>
      <c r="B692" s="14" t="s">
        <v>18</v>
      </c>
      <c r="C692" s="15">
        <v>72.02</v>
      </c>
      <c r="D692" s="13" t="s">
        <v>19</v>
      </c>
      <c r="E692" s="15">
        <v>67.58</v>
      </c>
      <c r="F692" s="15">
        <v>3.0</v>
      </c>
      <c r="G692" s="15">
        <v>2.0</v>
      </c>
      <c r="H692" s="15">
        <v>5.0</v>
      </c>
      <c r="I692" s="16">
        <v>0.0</v>
      </c>
      <c r="J692" s="17">
        <f>IFERROR(__xludf.DUMMYFUNCTION("INDEX(GOOGLEFINANCE(A692, ""open"", $J$1, $J$1), 2, 2)"),69.8)</f>
        <v>69.8</v>
      </c>
      <c r="K692" s="17">
        <f>IFERROR(__xludf.DUMMYFUNCTION("INDEX(GOOGLEFINANCE(A692, ""close"", $K$1, $K$1), 2, 2)"),71.55)</f>
        <v>71.55</v>
      </c>
      <c r="L692" s="8">
        <f t="shared" si="1"/>
        <v>2.507163324</v>
      </c>
      <c r="M692" s="18">
        <f t="shared" si="2"/>
        <v>25.07163324</v>
      </c>
      <c r="N692" s="18" t="str">
        <f t="shared" si="3"/>
        <v>Put Spread</v>
      </c>
      <c r="O692" s="18" t="str">
        <f t="shared" si="4"/>
        <v>Success</v>
      </c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</row>
    <row r="693">
      <c r="A693" s="13" t="s">
        <v>716</v>
      </c>
      <c r="B693" s="14" t="s">
        <v>18</v>
      </c>
      <c r="C693" s="15">
        <v>105.07</v>
      </c>
      <c r="D693" s="13" t="s">
        <v>19</v>
      </c>
      <c r="E693" s="15">
        <v>99.45</v>
      </c>
      <c r="F693" s="15">
        <v>5.0</v>
      </c>
      <c r="G693" s="15">
        <v>2.0</v>
      </c>
      <c r="H693" s="15">
        <v>4.0</v>
      </c>
      <c r="I693" s="16">
        <v>0.0</v>
      </c>
      <c r="J693" s="17">
        <f>IFERROR(__xludf.DUMMYFUNCTION("INDEX(GOOGLEFINANCE(A693, ""open"", $J$1, $J$1), 2, 2)"),101.88)</f>
        <v>101.88</v>
      </c>
      <c r="K693" s="17">
        <f>IFERROR(__xludf.DUMMYFUNCTION("INDEX(GOOGLEFINANCE(A693, ""close"", $K$1, $K$1), 2, 2)"),104.44)</f>
        <v>104.44</v>
      </c>
      <c r="L693" s="8">
        <f t="shared" si="1"/>
        <v>2.51276011</v>
      </c>
      <c r="M693" s="18">
        <f t="shared" si="2"/>
        <v>25.1276011</v>
      </c>
      <c r="N693" s="18" t="str">
        <f t="shared" si="3"/>
        <v>Put Spread</v>
      </c>
      <c r="O693" s="18" t="str">
        <f t="shared" si="4"/>
        <v>Success</v>
      </c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</row>
    <row r="694">
      <c r="A694" s="13" t="s">
        <v>717</v>
      </c>
      <c r="B694" s="26" t="s">
        <v>47</v>
      </c>
      <c r="C694" s="15">
        <v>217.89</v>
      </c>
      <c r="D694" s="13" t="s">
        <v>48</v>
      </c>
      <c r="E694" s="15">
        <v>231.59</v>
      </c>
      <c r="F694" s="15">
        <v>0.0</v>
      </c>
      <c r="G694" s="15">
        <v>1.0</v>
      </c>
      <c r="H694" s="15">
        <v>1.0</v>
      </c>
      <c r="I694" s="16">
        <v>1.55481020401116</v>
      </c>
      <c r="J694" s="17">
        <f>IFERROR(__xludf.DUMMYFUNCTION("INDEX(GOOGLEFINANCE(A694, ""open"", $J$1, $J$1), 2, 2)"),225.22)</f>
        <v>225.22</v>
      </c>
      <c r="K694" s="17">
        <f>IFERROR(__xludf.DUMMYFUNCTION("INDEX(GOOGLEFINANCE(A694, ""close"", $K$1, $K$1), 2, 2)"),219.4)</f>
        <v>219.4</v>
      </c>
      <c r="L694" s="20">
        <f t="shared" si="1"/>
        <v>2.584139952</v>
      </c>
      <c r="M694" s="18">
        <f t="shared" si="2"/>
        <v>25.84139952</v>
      </c>
      <c r="N694" s="18" t="str">
        <f t="shared" si="3"/>
        <v>Call Spread</v>
      </c>
      <c r="O694" s="18" t="str">
        <f t="shared" si="4"/>
        <v>Success</v>
      </c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</row>
    <row r="695">
      <c r="A695" s="13" t="s">
        <v>718</v>
      </c>
      <c r="B695" s="14" t="s">
        <v>18</v>
      </c>
      <c r="C695" s="15">
        <v>33.86</v>
      </c>
      <c r="D695" s="13" t="s">
        <v>19</v>
      </c>
      <c r="E695" s="15">
        <v>32.06</v>
      </c>
      <c r="F695" s="15">
        <v>4.0</v>
      </c>
      <c r="G695" s="15">
        <v>1.0</v>
      </c>
      <c r="H695" s="15">
        <v>1.0</v>
      </c>
      <c r="I695" s="16">
        <v>0.73204082</v>
      </c>
      <c r="J695" s="17">
        <f>IFERROR(__xludf.DUMMYFUNCTION("INDEX(GOOGLEFINANCE(A695, ""open"", $J$1, $J$1), 2, 2)"),32.89)</f>
        <v>32.89</v>
      </c>
      <c r="K695" s="17">
        <f>IFERROR(__xludf.DUMMYFUNCTION("INDEX(GOOGLEFINANCE(A695, ""close"", $K$1, $K$1), 2, 2)"),33.74)</f>
        <v>33.74</v>
      </c>
      <c r="L695" s="8">
        <f t="shared" si="1"/>
        <v>2.58437215</v>
      </c>
      <c r="M695" s="18">
        <f t="shared" si="2"/>
        <v>25.8437215</v>
      </c>
      <c r="N695" s="18" t="str">
        <f t="shared" si="3"/>
        <v>Put Spread</v>
      </c>
      <c r="O695" s="18" t="str">
        <f t="shared" si="4"/>
        <v>Success</v>
      </c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</row>
    <row r="696">
      <c r="A696" s="13" t="s">
        <v>719</v>
      </c>
      <c r="B696" s="26" t="s">
        <v>47</v>
      </c>
      <c r="C696" s="15">
        <v>113.64</v>
      </c>
      <c r="D696" s="13" t="s">
        <v>48</v>
      </c>
      <c r="E696" s="15">
        <v>123.14</v>
      </c>
      <c r="F696" s="15">
        <v>2.0</v>
      </c>
      <c r="G696" s="15">
        <v>3.0</v>
      </c>
      <c r="H696" s="15">
        <v>1.0</v>
      </c>
      <c r="I696" s="16">
        <v>0.0</v>
      </c>
      <c r="J696" s="17">
        <f>IFERROR(__xludf.DUMMYFUNCTION("INDEX(GOOGLEFINANCE(A696, ""open"", $J$1, $J$1), 2, 2)"),119.74)</f>
        <v>119.74</v>
      </c>
      <c r="K696" s="17">
        <f>IFERROR(__xludf.DUMMYFUNCTION("INDEX(GOOGLEFINANCE(A696, ""close"", $K$1, $K$1), 2, 2)"),116.6)</f>
        <v>116.6</v>
      </c>
      <c r="L696" s="20">
        <f t="shared" si="1"/>
        <v>2.622348422</v>
      </c>
      <c r="M696" s="18">
        <f t="shared" si="2"/>
        <v>26.22348422</v>
      </c>
      <c r="N696" s="18" t="str">
        <f t="shared" si="3"/>
        <v>Call Spread</v>
      </c>
      <c r="O696" s="18" t="str">
        <f t="shared" si="4"/>
        <v>Success</v>
      </c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</row>
    <row r="697">
      <c r="A697" s="13" t="s">
        <v>720</v>
      </c>
      <c r="B697" s="14" t="s">
        <v>18</v>
      </c>
      <c r="C697" s="15">
        <v>10.14</v>
      </c>
      <c r="D697" s="13" t="s">
        <v>19</v>
      </c>
      <c r="E697" s="15">
        <v>9.1</v>
      </c>
      <c r="F697" s="15">
        <v>4.0</v>
      </c>
      <c r="G697" s="15">
        <v>2.0</v>
      </c>
      <c r="H697" s="15">
        <v>4.0</v>
      </c>
      <c r="I697" s="16">
        <v>0.0</v>
      </c>
      <c r="J697" s="17">
        <f>IFERROR(__xludf.DUMMYFUNCTION("INDEX(GOOGLEFINANCE(A697, ""open"", $J$1, $J$1), 2, 2)"),9.88)</f>
        <v>9.88</v>
      </c>
      <c r="K697" s="17">
        <f>IFERROR(__xludf.DUMMYFUNCTION("INDEX(GOOGLEFINANCE(A697, ""close"", $K$1, $K$1), 2, 2)"),10.14)</f>
        <v>10.14</v>
      </c>
      <c r="L697" s="20">
        <f t="shared" si="1"/>
        <v>2.631578947</v>
      </c>
      <c r="M697" s="18">
        <f t="shared" si="2"/>
        <v>26.31578947</v>
      </c>
      <c r="N697" s="18" t="str">
        <f t="shared" si="3"/>
        <v>Put Spread</v>
      </c>
      <c r="O697" s="18" t="str">
        <f t="shared" si="4"/>
        <v>Success</v>
      </c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</row>
    <row r="698">
      <c r="A698" s="13" t="s">
        <v>721</v>
      </c>
      <c r="B698" s="14" t="s">
        <v>18</v>
      </c>
      <c r="C698" s="15">
        <v>312.68</v>
      </c>
      <c r="D698" s="13" t="s">
        <v>19</v>
      </c>
      <c r="E698" s="15">
        <v>286.06</v>
      </c>
      <c r="F698" s="15">
        <v>2.0</v>
      </c>
      <c r="G698" s="15">
        <v>3.0</v>
      </c>
      <c r="H698" s="15">
        <v>4.0</v>
      </c>
      <c r="I698" s="16">
        <v>0.618702754778737</v>
      </c>
      <c r="J698" s="17">
        <f>IFERROR(__xludf.DUMMYFUNCTION("INDEX(GOOGLEFINANCE(A698, ""open"", $J$1, $J$1), 2, 2)"),299.54)</f>
        <v>299.54</v>
      </c>
      <c r="K698" s="17">
        <f>IFERROR(__xludf.DUMMYFUNCTION("INDEX(GOOGLEFINANCE(A698, ""close"", $K$1, $K$1), 2, 2)"),307.43)</f>
        <v>307.43</v>
      </c>
      <c r="L698" s="8">
        <f t="shared" si="1"/>
        <v>2.63403886</v>
      </c>
      <c r="M698" s="18">
        <f t="shared" si="2"/>
        <v>26.3403886</v>
      </c>
      <c r="N698" s="18" t="str">
        <f t="shared" si="3"/>
        <v>Put Spread</v>
      </c>
      <c r="O698" s="18" t="str">
        <f t="shared" si="4"/>
        <v>Success</v>
      </c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</row>
    <row r="699">
      <c r="A699" s="13" t="s">
        <v>722</v>
      </c>
      <c r="B699" s="14" t="s">
        <v>18</v>
      </c>
      <c r="C699" s="15">
        <v>39.45</v>
      </c>
      <c r="D699" s="13" t="s">
        <v>19</v>
      </c>
      <c r="E699" s="15">
        <v>37.97</v>
      </c>
      <c r="F699" s="15">
        <v>2.0</v>
      </c>
      <c r="G699" s="15">
        <v>1.0</v>
      </c>
      <c r="H699" s="15">
        <v>2.0</v>
      </c>
      <c r="I699" s="16">
        <v>0.76081513</v>
      </c>
      <c r="J699" s="17">
        <f>IFERROR(__xludf.DUMMYFUNCTION("INDEX(GOOGLEFINANCE(A699, ""open"", $J$1, $J$1), 2, 2)"),38.67)</f>
        <v>38.67</v>
      </c>
      <c r="K699" s="17">
        <f>IFERROR(__xludf.DUMMYFUNCTION("INDEX(GOOGLEFINANCE(A699, ""close"", $K$1, $K$1), 2, 2)"),39.7)</f>
        <v>39.7</v>
      </c>
      <c r="L699" s="8">
        <f t="shared" si="1"/>
        <v>2.663563486</v>
      </c>
      <c r="M699" s="18">
        <f t="shared" si="2"/>
        <v>26.63563486</v>
      </c>
      <c r="N699" s="18" t="str">
        <f t="shared" si="3"/>
        <v>Put Spread</v>
      </c>
      <c r="O699" s="18" t="str">
        <f t="shared" si="4"/>
        <v>Success</v>
      </c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</row>
    <row r="700">
      <c r="A700" s="13" t="s">
        <v>723</v>
      </c>
      <c r="B700" s="26" t="s">
        <v>47</v>
      </c>
      <c r="C700" s="15">
        <v>171.79</v>
      </c>
      <c r="D700" s="13" t="s">
        <v>48</v>
      </c>
      <c r="E700" s="15">
        <v>179.85</v>
      </c>
      <c r="F700" s="15">
        <v>3.0</v>
      </c>
      <c r="G700" s="15">
        <v>1.0</v>
      </c>
      <c r="H700" s="15">
        <v>4.0</v>
      </c>
      <c r="I700" s="16">
        <v>0.0</v>
      </c>
      <c r="J700" s="17">
        <f>IFERROR(__xludf.DUMMYFUNCTION("INDEX(GOOGLEFINANCE(A700, ""open"", $J$1, $J$1), 2, 2)"),175.7)</f>
        <v>175.7</v>
      </c>
      <c r="K700" s="17">
        <f>IFERROR(__xludf.DUMMYFUNCTION("INDEX(GOOGLEFINANCE(A700, ""close"", $K$1, $K$1), 2, 2)"),170.97)</f>
        <v>170.97</v>
      </c>
      <c r="L700" s="20">
        <f t="shared" si="1"/>
        <v>2.692088788</v>
      </c>
      <c r="M700" s="18">
        <f t="shared" si="2"/>
        <v>26.92088788</v>
      </c>
      <c r="N700" s="18" t="str">
        <f t="shared" si="3"/>
        <v>Call Spread</v>
      </c>
      <c r="O700" s="18" t="str">
        <f t="shared" si="4"/>
        <v>Success</v>
      </c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</row>
    <row r="701">
      <c r="A701" s="13" t="s">
        <v>724</v>
      </c>
      <c r="B701" s="14" t="s">
        <v>18</v>
      </c>
      <c r="C701" s="15">
        <v>21.92</v>
      </c>
      <c r="D701" s="13" t="s">
        <v>19</v>
      </c>
      <c r="E701" s="15">
        <v>19.48</v>
      </c>
      <c r="F701" s="15">
        <v>2.0</v>
      </c>
      <c r="G701" s="15">
        <v>3.0</v>
      </c>
      <c r="H701" s="15">
        <v>5.0</v>
      </c>
      <c r="I701" s="16">
        <v>0.0</v>
      </c>
      <c r="J701" s="17">
        <f>IFERROR(__xludf.DUMMYFUNCTION("INDEX(GOOGLEFINANCE(A701, ""open"", $J$1, $J$1), 2, 2)"),20.44)</f>
        <v>20.44</v>
      </c>
      <c r="K701" s="17">
        <f>IFERROR(__xludf.DUMMYFUNCTION("INDEX(GOOGLEFINANCE(A701, ""close"", $K$1, $K$1), 2, 2)"),21.01)</f>
        <v>21.01</v>
      </c>
      <c r="L701" s="20">
        <f t="shared" si="1"/>
        <v>2.788649706</v>
      </c>
      <c r="M701" s="18">
        <f t="shared" si="2"/>
        <v>27.88649706</v>
      </c>
      <c r="N701" s="18" t="str">
        <f t="shared" si="3"/>
        <v>Put Spread</v>
      </c>
      <c r="O701" s="18" t="str">
        <f t="shared" si="4"/>
        <v>Success</v>
      </c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</row>
    <row r="702">
      <c r="A702" s="13" t="s">
        <v>725</v>
      </c>
      <c r="B702" s="14" t="s">
        <v>18</v>
      </c>
      <c r="C702" s="15">
        <v>122.8</v>
      </c>
      <c r="D702" s="13" t="s">
        <v>19</v>
      </c>
      <c r="E702" s="15">
        <v>117.06</v>
      </c>
      <c r="F702" s="15">
        <v>5.0</v>
      </c>
      <c r="G702" s="15">
        <v>2.0</v>
      </c>
      <c r="H702" s="15">
        <v>4.0</v>
      </c>
      <c r="I702" s="16">
        <v>0.0</v>
      </c>
      <c r="J702" s="17">
        <f>IFERROR(__xludf.DUMMYFUNCTION("INDEX(GOOGLEFINANCE(A702, ""open"", $J$1, $J$1), 2, 2)"),119.63)</f>
        <v>119.63</v>
      </c>
      <c r="K702" s="17">
        <f>IFERROR(__xludf.DUMMYFUNCTION("INDEX(GOOGLEFINANCE(A702, ""close"", $K$1, $K$1), 2, 2)"),122.91)</f>
        <v>122.91</v>
      </c>
      <c r="L702" s="8">
        <f t="shared" si="1"/>
        <v>2.741787177</v>
      </c>
      <c r="M702" s="18">
        <f t="shared" si="2"/>
        <v>27.41787177</v>
      </c>
      <c r="N702" s="18" t="str">
        <f t="shared" si="3"/>
        <v>Put Spread</v>
      </c>
      <c r="O702" s="18" t="str">
        <f t="shared" si="4"/>
        <v>Success</v>
      </c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</row>
    <row r="703">
      <c r="A703" s="13" t="s">
        <v>726</v>
      </c>
      <c r="B703" s="26" t="s">
        <v>47</v>
      </c>
      <c r="C703" s="15">
        <v>278.2</v>
      </c>
      <c r="D703" s="13" t="s">
        <v>48</v>
      </c>
      <c r="E703" s="15">
        <v>297.32</v>
      </c>
      <c r="F703" s="15">
        <v>0.0</v>
      </c>
      <c r="G703" s="15">
        <v>3.0</v>
      </c>
      <c r="H703" s="15">
        <v>1.0</v>
      </c>
      <c r="I703" s="16">
        <v>0.0</v>
      </c>
      <c r="J703" s="17">
        <f>IFERROR(__xludf.DUMMYFUNCTION("INDEX(GOOGLEFINANCE(A703, ""open"", $J$1, $J$1), 2, 2)"),286.78)</f>
        <v>286.78</v>
      </c>
      <c r="K703" s="17">
        <f>IFERROR(__xludf.DUMMYFUNCTION("INDEX(GOOGLEFINANCE(A703, ""close"", $K$1, $K$1), 2, 2)"),278.89)</f>
        <v>278.89</v>
      </c>
      <c r="L703" s="8">
        <f t="shared" si="1"/>
        <v>2.751237883</v>
      </c>
      <c r="M703" s="18">
        <f t="shared" si="2"/>
        <v>27.51237883</v>
      </c>
      <c r="N703" s="18" t="str">
        <f t="shared" si="3"/>
        <v>Call Spread</v>
      </c>
      <c r="O703" s="18" t="str">
        <f t="shared" si="4"/>
        <v>Success</v>
      </c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</row>
    <row r="704">
      <c r="A704" s="13" t="s">
        <v>727</v>
      </c>
      <c r="B704" s="14" t="s">
        <v>18</v>
      </c>
      <c r="C704" s="15">
        <v>39.37</v>
      </c>
      <c r="D704" s="13" t="s">
        <v>19</v>
      </c>
      <c r="E704" s="15">
        <v>37.35</v>
      </c>
      <c r="F704" s="15">
        <v>5.0</v>
      </c>
      <c r="G704" s="15">
        <v>2.0</v>
      </c>
      <c r="H704" s="15">
        <v>5.0</v>
      </c>
      <c r="I704" s="16">
        <v>0.0</v>
      </c>
      <c r="J704" s="17">
        <f>IFERROR(__xludf.DUMMYFUNCTION("INDEX(GOOGLEFINANCE(A704, ""open"", $J$1, $J$1), 2, 2)"),37.75)</f>
        <v>37.75</v>
      </c>
      <c r="K704" s="17">
        <f>IFERROR(__xludf.DUMMYFUNCTION("INDEX(GOOGLEFINANCE(A704, ""close"", $K$1, $K$1), 2, 2)"),38.82)</f>
        <v>38.82</v>
      </c>
      <c r="L704" s="8">
        <f t="shared" si="1"/>
        <v>2.834437086</v>
      </c>
      <c r="M704" s="18">
        <f t="shared" si="2"/>
        <v>28.34437086</v>
      </c>
      <c r="N704" s="18" t="str">
        <f t="shared" si="3"/>
        <v>Put Spread</v>
      </c>
      <c r="O704" s="18" t="str">
        <f t="shared" si="4"/>
        <v>Success</v>
      </c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</row>
    <row r="705">
      <c r="A705" s="13" t="s">
        <v>728</v>
      </c>
      <c r="B705" s="14" t="s">
        <v>18</v>
      </c>
      <c r="C705" s="15">
        <v>276.08</v>
      </c>
      <c r="D705" s="13" t="s">
        <v>19</v>
      </c>
      <c r="E705" s="15">
        <v>262.48</v>
      </c>
      <c r="F705" s="15">
        <v>3.0</v>
      </c>
      <c r="G705" s="15">
        <v>2.0</v>
      </c>
      <c r="H705" s="15">
        <v>5.0</v>
      </c>
      <c r="I705" s="16">
        <v>1.46438580084326</v>
      </c>
      <c r="J705" s="17">
        <f>IFERROR(__xludf.DUMMYFUNCTION("INDEX(GOOGLEFINANCE(A705, ""open"", $J$1, $J$1), 2, 2)"),270.6)</f>
        <v>270.6</v>
      </c>
      <c r="K705" s="17">
        <f>IFERROR(__xludf.DUMMYFUNCTION("INDEX(GOOGLEFINANCE(A705, ""close"", $K$1, $K$1), 2, 2)"),278.26)</f>
        <v>278.26</v>
      </c>
      <c r="L705" s="8">
        <f t="shared" si="1"/>
        <v>2.830746489</v>
      </c>
      <c r="M705" s="18">
        <f t="shared" si="2"/>
        <v>28.30746489</v>
      </c>
      <c r="N705" s="18" t="str">
        <f t="shared" si="3"/>
        <v>Put Spread</v>
      </c>
      <c r="O705" s="18" t="str">
        <f t="shared" si="4"/>
        <v>Success</v>
      </c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</row>
    <row r="706">
      <c r="A706" s="13" t="s">
        <v>729</v>
      </c>
      <c r="B706" s="14" t="s">
        <v>18</v>
      </c>
      <c r="C706" s="15">
        <v>33.58</v>
      </c>
      <c r="D706" s="13" t="s">
        <v>19</v>
      </c>
      <c r="E706" s="15">
        <v>26.56</v>
      </c>
      <c r="F706" s="15">
        <v>5.0</v>
      </c>
      <c r="G706" s="15">
        <v>0.0</v>
      </c>
      <c r="H706" s="15">
        <v>3.0</v>
      </c>
      <c r="I706" s="16">
        <v>0.0</v>
      </c>
      <c r="J706" s="17">
        <f>IFERROR(__xludf.DUMMYFUNCTION("INDEX(GOOGLEFINANCE(A706, ""open"", $J$1, $J$1), 2, 2)"),29.97)</f>
        <v>29.97</v>
      </c>
      <c r="K706" s="17">
        <f>IFERROR(__xludf.DUMMYFUNCTION("INDEX(GOOGLEFINANCE(A706, ""close"", $K$1, $K$1), 2, 2)"),30.82)</f>
        <v>30.82</v>
      </c>
      <c r="L706" s="8">
        <f t="shared" si="1"/>
        <v>2.836169503</v>
      </c>
      <c r="M706" s="18">
        <f t="shared" si="2"/>
        <v>28.36169503</v>
      </c>
      <c r="N706" s="18" t="str">
        <f t="shared" si="3"/>
        <v>Put Spread</v>
      </c>
      <c r="O706" s="18" t="str">
        <f t="shared" si="4"/>
        <v>Success</v>
      </c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</row>
    <row r="707">
      <c r="A707" s="13" t="s">
        <v>730</v>
      </c>
      <c r="B707" s="26" t="s">
        <v>47</v>
      </c>
      <c r="C707" s="15">
        <v>232.01</v>
      </c>
      <c r="D707" s="13" t="s">
        <v>48</v>
      </c>
      <c r="E707" s="15">
        <v>251.07</v>
      </c>
      <c r="F707" s="15">
        <v>0.0</v>
      </c>
      <c r="G707" s="15">
        <v>1.0</v>
      </c>
      <c r="H707" s="15">
        <v>4.0</v>
      </c>
      <c r="I707" s="16">
        <v>0.0</v>
      </c>
      <c r="J707" s="17">
        <f>IFERROR(__xludf.DUMMYFUNCTION("INDEX(GOOGLEFINANCE(A707, ""open"", $J$1, $J$1), 2, 2)"),244.21)</f>
        <v>244.21</v>
      </c>
      <c r="K707" s="17">
        <f>IFERROR(__xludf.DUMMYFUNCTION("INDEX(GOOGLEFINANCE(A707, ""close"", $K$1, $K$1), 2, 2)"),237.24)</f>
        <v>237.24</v>
      </c>
      <c r="L707" s="8">
        <f t="shared" si="1"/>
        <v>2.854100979</v>
      </c>
      <c r="M707" s="18">
        <f t="shared" si="2"/>
        <v>28.54100979</v>
      </c>
      <c r="N707" s="18" t="str">
        <f t="shared" si="3"/>
        <v>Call Spread</v>
      </c>
      <c r="O707" s="18" t="str">
        <f t="shared" si="4"/>
        <v>Success</v>
      </c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</row>
    <row r="708">
      <c r="A708" s="13" t="s">
        <v>731</v>
      </c>
      <c r="B708" s="14" t="s">
        <v>18</v>
      </c>
      <c r="C708" s="15">
        <v>681.81</v>
      </c>
      <c r="D708" s="13" t="s">
        <v>19</v>
      </c>
      <c r="E708" s="15">
        <v>607.37</v>
      </c>
      <c r="F708" s="15">
        <v>3.0</v>
      </c>
      <c r="G708" s="15">
        <v>1.0</v>
      </c>
      <c r="H708" s="15">
        <v>5.0</v>
      </c>
      <c r="I708" s="16">
        <v>1.95525293173551</v>
      </c>
      <c r="J708" s="17">
        <f>IFERROR(__xludf.DUMMYFUNCTION("INDEX(GOOGLEFINANCE(A708, ""open"", $J$1, $J$1), 2, 2)"),638.26)</f>
        <v>638.26</v>
      </c>
      <c r="K708" s="17">
        <f>IFERROR(__xludf.DUMMYFUNCTION("INDEX(GOOGLEFINANCE(A708, ""close"", $K$1, $K$1), 2, 2)"),656.5)</f>
        <v>656.5</v>
      </c>
      <c r="L708" s="8">
        <f t="shared" si="1"/>
        <v>2.857769561</v>
      </c>
      <c r="M708" s="18">
        <f t="shared" si="2"/>
        <v>28.57769561</v>
      </c>
      <c r="N708" s="18" t="str">
        <f t="shared" si="3"/>
        <v>Put Spread</v>
      </c>
      <c r="O708" s="18" t="str">
        <f t="shared" si="4"/>
        <v>Success</v>
      </c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</row>
    <row r="709">
      <c r="A709" s="13" t="s">
        <v>732</v>
      </c>
      <c r="B709" s="26" t="s">
        <v>47</v>
      </c>
      <c r="C709" s="15">
        <v>49.95</v>
      </c>
      <c r="D709" s="13" t="s">
        <v>48</v>
      </c>
      <c r="E709" s="15">
        <v>54.43</v>
      </c>
      <c r="F709" s="15">
        <v>0.0</v>
      </c>
      <c r="G709" s="15">
        <v>1.0</v>
      </c>
      <c r="H709" s="15">
        <v>2.0</v>
      </c>
      <c r="I709" s="16">
        <v>-1.0118904</v>
      </c>
      <c r="J709" s="17">
        <f>IFERROR(__xludf.DUMMYFUNCTION("INDEX(GOOGLEFINANCE(A709, ""open"", $J$1, $J$1), 2, 2)"),53.91)</f>
        <v>53.91</v>
      </c>
      <c r="K709" s="17">
        <f>IFERROR(__xludf.DUMMYFUNCTION("INDEX(GOOGLEFINANCE(A709, ""close"", $K$1, $K$1), 2, 2)"),52.34)</f>
        <v>52.34</v>
      </c>
      <c r="L709" s="20">
        <f t="shared" si="1"/>
        <v>2.912261176</v>
      </c>
      <c r="M709" s="18">
        <f t="shared" si="2"/>
        <v>29.12261176</v>
      </c>
      <c r="N709" s="18" t="str">
        <f t="shared" si="3"/>
        <v>Call Spread</v>
      </c>
      <c r="O709" s="18" t="str">
        <f t="shared" si="4"/>
        <v>Success</v>
      </c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</row>
    <row r="710">
      <c r="A710" s="13" t="s">
        <v>733</v>
      </c>
      <c r="B710" s="14" t="s">
        <v>18</v>
      </c>
      <c r="C710" s="15">
        <v>130.99</v>
      </c>
      <c r="D710" s="13" t="s">
        <v>19</v>
      </c>
      <c r="E710" s="15">
        <v>123.77</v>
      </c>
      <c r="F710" s="15">
        <v>3.0</v>
      </c>
      <c r="G710" s="15">
        <v>2.0</v>
      </c>
      <c r="H710" s="15">
        <v>1.0</v>
      </c>
      <c r="I710" s="16">
        <v>0.0</v>
      </c>
      <c r="J710" s="17">
        <f>IFERROR(__xludf.DUMMYFUNCTION("INDEX(GOOGLEFINANCE(A710, ""open"", $J$1, $J$1), 2, 2)"),126.83)</f>
        <v>126.83</v>
      </c>
      <c r="K710" s="17">
        <f>IFERROR(__xludf.DUMMYFUNCTION("INDEX(GOOGLEFINANCE(A710, ""close"", $K$1, $K$1), 2, 2)"),130.64)</f>
        <v>130.64</v>
      </c>
      <c r="L710" s="8">
        <f t="shared" si="1"/>
        <v>3.004021131</v>
      </c>
      <c r="M710" s="18">
        <f t="shared" si="2"/>
        <v>30.04021131</v>
      </c>
      <c r="N710" s="18" t="str">
        <f t="shared" si="3"/>
        <v>Put Spread</v>
      </c>
      <c r="O710" s="18" t="str">
        <f t="shared" si="4"/>
        <v>Success</v>
      </c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</row>
    <row r="711">
      <c r="A711" s="13" t="s">
        <v>734</v>
      </c>
      <c r="B711" s="14" t="s">
        <v>18</v>
      </c>
      <c r="C711" s="15">
        <v>585.24</v>
      </c>
      <c r="D711" s="13" t="s">
        <v>19</v>
      </c>
      <c r="E711" s="15">
        <v>554.24</v>
      </c>
      <c r="F711" s="15">
        <v>4.0</v>
      </c>
      <c r="G711" s="15">
        <v>1.0</v>
      </c>
      <c r="H711" s="15">
        <v>5.0</v>
      </c>
      <c r="I711" s="16">
        <v>0.924004775634405</v>
      </c>
      <c r="J711" s="17">
        <f>IFERROR(__xludf.DUMMYFUNCTION("INDEX(GOOGLEFINANCE(A711, ""open"", $J$1, $J$1), 2, 2)"),569.24)</f>
        <v>569.24</v>
      </c>
      <c r="K711" s="17">
        <f>IFERROR(__xludf.DUMMYFUNCTION("INDEX(GOOGLEFINANCE(A711, ""close"", $K$1, $K$1), 2, 2)"),586.44)</f>
        <v>586.44</v>
      </c>
      <c r="L711" s="8">
        <f t="shared" si="1"/>
        <v>3.021572623</v>
      </c>
      <c r="M711" s="18">
        <f t="shared" si="2"/>
        <v>30.21572623</v>
      </c>
      <c r="N711" s="18" t="str">
        <f t="shared" si="3"/>
        <v>Put Spread</v>
      </c>
      <c r="O711" s="18" t="str">
        <f t="shared" si="4"/>
        <v>Success</v>
      </c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</row>
    <row r="712">
      <c r="A712" s="13" t="s">
        <v>735</v>
      </c>
      <c r="B712" s="26" t="s">
        <v>47</v>
      </c>
      <c r="C712" s="15">
        <v>33.81</v>
      </c>
      <c r="D712" s="13" t="s">
        <v>48</v>
      </c>
      <c r="E712" s="15">
        <v>38.95</v>
      </c>
      <c r="F712" s="15">
        <v>0.0</v>
      </c>
      <c r="G712" s="15">
        <v>4.0</v>
      </c>
      <c r="H712" s="15">
        <v>2.0</v>
      </c>
      <c r="I712" s="16">
        <v>0.0</v>
      </c>
      <c r="J712" s="17">
        <f>IFERROR(__xludf.DUMMYFUNCTION("INDEX(GOOGLEFINANCE(A712, ""open"", $J$1, $J$1), 2, 2)"),36.38)</f>
        <v>36.38</v>
      </c>
      <c r="K712" s="17">
        <f>IFERROR(__xludf.DUMMYFUNCTION("INDEX(GOOGLEFINANCE(A712, ""close"", $K$1, $K$1), 2, 2)"),35.27)</f>
        <v>35.27</v>
      </c>
      <c r="L712" s="8">
        <f t="shared" si="1"/>
        <v>3.051126993</v>
      </c>
      <c r="M712" s="18">
        <f t="shared" si="2"/>
        <v>30.51126993</v>
      </c>
      <c r="N712" s="18" t="str">
        <f t="shared" si="3"/>
        <v>Call Spread</v>
      </c>
      <c r="O712" s="18" t="str">
        <f t="shared" si="4"/>
        <v>Success</v>
      </c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</row>
    <row r="713">
      <c r="A713" s="13" t="s">
        <v>736</v>
      </c>
      <c r="B713" s="14" t="s">
        <v>18</v>
      </c>
      <c r="C713" s="15">
        <v>60.35</v>
      </c>
      <c r="D713" s="13" t="s">
        <v>19</v>
      </c>
      <c r="E713" s="15">
        <v>57.15</v>
      </c>
      <c r="F713" s="15">
        <v>5.0</v>
      </c>
      <c r="G713" s="15">
        <v>2.0</v>
      </c>
      <c r="H713" s="15">
        <v>5.0</v>
      </c>
      <c r="I713" s="16">
        <v>0.0</v>
      </c>
      <c r="J713" s="17">
        <f>IFERROR(__xludf.DUMMYFUNCTION("INDEX(GOOGLEFINANCE(A713, ""open"", $J$1, $J$1), 2, 2)"),58.6)</f>
        <v>58.6</v>
      </c>
      <c r="K713" s="17">
        <f>IFERROR(__xludf.DUMMYFUNCTION("INDEX(GOOGLEFINANCE(A713, ""close"", $K$1, $K$1), 2, 2)"),60.41)</f>
        <v>60.41</v>
      </c>
      <c r="L713" s="8">
        <f t="shared" si="1"/>
        <v>3.088737201</v>
      </c>
      <c r="M713" s="18">
        <f t="shared" si="2"/>
        <v>30.88737201</v>
      </c>
      <c r="N713" s="18" t="str">
        <f t="shared" si="3"/>
        <v>Put Spread</v>
      </c>
      <c r="O713" s="18" t="str">
        <f t="shared" si="4"/>
        <v>Success</v>
      </c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</row>
    <row r="714">
      <c r="A714" s="13" t="s">
        <v>737</v>
      </c>
      <c r="B714" s="14" t="s">
        <v>18</v>
      </c>
      <c r="C714" s="15">
        <v>24.82</v>
      </c>
      <c r="D714" s="13" t="s">
        <v>19</v>
      </c>
      <c r="E714" s="15">
        <v>20.86</v>
      </c>
      <c r="F714" s="15">
        <v>2.0</v>
      </c>
      <c r="G714" s="15">
        <v>2.0</v>
      </c>
      <c r="H714" s="15">
        <v>0.0</v>
      </c>
      <c r="I714" s="16">
        <v>0.0</v>
      </c>
      <c r="J714" s="17">
        <f>IFERROR(__xludf.DUMMYFUNCTION("INDEX(GOOGLEFINANCE(A714, ""open"", $J$1, $J$1), 2, 2)"),23.36)</f>
        <v>23.36</v>
      </c>
      <c r="K714" s="17">
        <f>IFERROR(__xludf.DUMMYFUNCTION("INDEX(GOOGLEFINANCE(A714, ""close"", $K$1, $K$1), 2, 2)"),24.09)</f>
        <v>24.09</v>
      </c>
      <c r="L714" s="8">
        <f t="shared" si="1"/>
        <v>3.125</v>
      </c>
      <c r="M714" s="18">
        <f t="shared" si="2"/>
        <v>31.25</v>
      </c>
      <c r="N714" s="18" t="str">
        <f t="shared" si="3"/>
        <v>Put Spread</v>
      </c>
      <c r="O714" s="18" t="str">
        <f t="shared" si="4"/>
        <v>Success</v>
      </c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</row>
    <row r="715">
      <c r="A715" s="13" t="s">
        <v>738</v>
      </c>
      <c r="B715" s="14" t="s">
        <v>18</v>
      </c>
      <c r="C715" s="15">
        <v>166.68</v>
      </c>
      <c r="D715" s="13" t="s">
        <v>19</v>
      </c>
      <c r="E715" s="15">
        <v>156.44</v>
      </c>
      <c r="F715" s="15">
        <v>2.0</v>
      </c>
      <c r="G715" s="15">
        <v>1.0</v>
      </c>
      <c r="H715" s="15">
        <v>5.0</v>
      </c>
      <c r="I715" s="16">
        <v>0.0</v>
      </c>
      <c r="J715" s="17">
        <f>IFERROR(__xludf.DUMMYFUNCTION("INDEX(GOOGLEFINANCE(A715, ""open"", $J$1, $J$1), 2, 2)"),161.2)</f>
        <v>161.2</v>
      </c>
      <c r="K715" s="17">
        <f>IFERROR(__xludf.DUMMYFUNCTION("INDEX(GOOGLEFINANCE(A715, ""close"", $K$1, $K$1), 2, 2)"),166.24)</f>
        <v>166.24</v>
      </c>
      <c r="L715" s="8">
        <f t="shared" si="1"/>
        <v>3.126550868</v>
      </c>
      <c r="M715" s="18">
        <f t="shared" si="2"/>
        <v>31.26550868</v>
      </c>
      <c r="N715" s="18" t="str">
        <f t="shared" si="3"/>
        <v>Put Spread</v>
      </c>
      <c r="O715" s="18" t="str">
        <f t="shared" si="4"/>
        <v>Success</v>
      </c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</row>
    <row r="716">
      <c r="A716" s="13" t="s">
        <v>739</v>
      </c>
      <c r="B716" s="26" t="s">
        <v>47</v>
      </c>
      <c r="C716" s="15">
        <v>41.78</v>
      </c>
      <c r="D716" s="13" t="s">
        <v>48</v>
      </c>
      <c r="E716" s="15">
        <v>43.84</v>
      </c>
      <c r="F716" s="15">
        <v>2.0</v>
      </c>
      <c r="G716" s="15">
        <v>2.0</v>
      </c>
      <c r="H716" s="15">
        <v>5.0</v>
      </c>
      <c r="I716" s="16">
        <v>0.0</v>
      </c>
      <c r="J716" s="17">
        <f>IFERROR(__xludf.DUMMYFUNCTION("INDEX(GOOGLEFINANCE(A716, ""open"", $J$1, $J$1), 2, 2)"),42.07)</f>
        <v>42.07</v>
      </c>
      <c r="K716" s="17">
        <f>IFERROR(__xludf.DUMMYFUNCTION("INDEX(GOOGLEFINANCE(A716, ""close"", $K$1, $K$1), 2, 2)"),40.75)</f>
        <v>40.75</v>
      </c>
      <c r="L716" s="8">
        <f t="shared" si="1"/>
        <v>3.137627763</v>
      </c>
      <c r="M716" s="18">
        <f t="shared" si="2"/>
        <v>31.37627763</v>
      </c>
      <c r="N716" s="18" t="str">
        <f t="shared" si="3"/>
        <v>Call Spread</v>
      </c>
      <c r="O716" s="18" t="str">
        <f t="shared" si="4"/>
        <v>Success</v>
      </c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</row>
    <row r="717">
      <c r="A717" s="13" t="s">
        <v>740</v>
      </c>
      <c r="B717" s="14" t="s">
        <v>18</v>
      </c>
      <c r="C717" s="15">
        <v>42.9</v>
      </c>
      <c r="D717" s="13" t="s">
        <v>19</v>
      </c>
      <c r="E717" s="15">
        <v>40.98</v>
      </c>
      <c r="F717" s="15">
        <v>3.0</v>
      </c>
      <c r="G717" s="15">
        <v>2.0</v>
      </c>
      <c r="H717" s="15">
        <v>3.0</v>
      </c>
      <c r="I717" s="16">
        <v>0.0</v>
      </c>
      <c r="J717" s="17">
        <f>IFERROR(__xludf.DUMMYFUNCTION("INDEX(GOOGLEFINANCE(A717, ""open"", $J$1, $J$1), 2, 2)"),41.87)</f>
        <v>41.87</v>
      </c>
      <c r="K717" s="17">
        <f>IFERROR(__xludf.DUMMYFUNCTION("INDEX(GOOGLEFINANCE(A717, ""close"", $K$1, $K$1), 2, 2)"),43.19)</f>
        <v>43.19</v>
      </c>
      <c r="L717" s="8">
        <f t="shared" si="1"/>
        <v>3.152615238</v>
      </c>
      <c r="M717" s="18">
        <f t="shared" si="2"/>
        <v>31.52615238</v>
      </c>
      <c r="N717" s="18" t="str">
        <f t="shared" si="3"/>
        <v>Put Spread</v>
      </c>
      <c r="O717" s="18" t="str">
        <f t="shared" si="4"/>
        <v>Success</v>
      </c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</row>
    <row r="718">
      <c r="A718" s="13" t="s">
        <v>741</v>
      </c>
      <c r="B718" s="14" t="s">
        <v>18</v>
      </c>
      <c r="C718" s="15">
        <v>63.84</v>
      </c>
      <c r="D718" s="13" t="s">
        <v>19</v>
      </c>
      <c r="E718" s="15">
        <v>57.56</v>
      </c>
      <c r="F718" s="15">
        <v>2.0</v>
      </c>
      <c r="G718" s="15">
        <v>5.0</v>
      </c>
      <c r="H718" s="15">
        <v>1.0</v>
      </c>
      <c r="I718" s="16">
        <v>0.0</v>
      </c>
      <c r="J718" s="17">
        <f>IFERROR(__xludf.DUMMYFUNCTION("INDEX(GOOGLEFINANCE(A718, ""open"", $J$1, $J$1), 2, 2)"),60.56)</f>
        <v>60.56</v>
      </c>
      <c r="K718" s="17">
        <f>IFERROR(__xludf.DUMMYFUNCTION("INDEX(GOOGLEFINANCE(A718, ""close"", $K$1, $K$1), 2, 2)"),62.47)</f>
        <v>62.47</v>
      </c>
      <c r="L718" s="8">
        <f t="shared" si="1"/>
        <v>3.153896962</v>
      </c>
      <c r="M718" s="18">
        <f t="shared" si="2"/>
        <v>31.53896962</v>
      </c>
      <c r="N718" s="18" t="str">
        <f t="shared" si="3"/>
        <v>Put Spread</v>
      </c>
      <c r="O718" s="18" t="str">
        <f t="shared" si="4"/>
        <v>Success</v>
      </c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</row>
    <row r="719">
      <c r="A719" s="13" t="s">
        <v>742</v>
      </c>
      <c r="B719" s="26" t="s">
        <v>47</v>
      </c>
      <c r="C719" s="15">
        <v>101.0</v>
      </c>
      <c r="D719" s="13" t="s">
        <v>48</v>
      </c>
      <c r="E719" s="15">
        <v>106.4</v>
      </c>
      <c r="F719" s="15">
        <v>0.0</v>
      </c>
      <c r="G719" s="15">
        <v>1.0</v>
      </c>
      <c r="H719" s="15">
        <v>4.0</v>
      </c>
      <c r="I719" s="16">
        <v>0.0</v>
      </c>
      <c r="J719" s="17">
        <f>IFERROR(__xludf.DUMMYFUNCTION("INDEX(GOOGLEFINANCE(A719, ""open"", $J$1, $J$1), 2, 2)"),104.18)</f>
        <v>104.18</v>
      </c>
      <c r="K719" s="17">
        <f>IFERROR(__xludf.DUMMYFUNCTION("INDEX(GOOGLEFINANCE(A719, ""close"", $K$1, $K$1), 2, 2)"),100.88)</f>
        <v>100.88</v>
      </c>
      <c r="L719" s="8">
        <f t="shared" si="1"/>
        <v>3.167594548</v>
      </c>
      <c r="M719" s="18">
        <f t="shared" si="2"/>
        <v>31.67594548</v>
      </c>
      <c r="N719" s="18" t="str">
        <f t="shared" si="3"/>
        <v>Call Spread</v>
      </c>
      <c r="O719" s="18" t="str">
        <f t="shared" si="4"/>
        <v>Success</v>
      </c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</row>
    <row r="720">
      <c r="A720" s="13" t="s">
        <v>743</v>
      </c>
      <c r="B720" s="14" t="s">
        <v>18</v>
      </c>
      <c r="C720" s="15">
        <v>349.85</v>
      </c>
      <c r="D720" s="13" t="s">
        <v>19</v>
      </c>
      <c r="E720" s="15">
        <v>304.85</v>
      </c>
      <c r="F720" s="15">
        <v>3.0</v>
      </c>
      <c r="G720" s="15">
        <v>2.0</v>
      </c>
      <c r="H720" s="15">
        <v>4.0</v>
      </c>
      <c r="I720" s="16">
        <v>-1.1498738</v>
      </c>
      <c r="J720" s="17">
        <f>IFERROR(__xludf.DUMMYFUNCTION("INDEX(GOOGLEFINANCE(A720, ""open"", $J$1, $J$1), 2, 2)"),330.09)</f>
        <v>330.09</v>
      </c>
      <c r="K720" s="17">
        <f>IFERROR(__xludf.DUMMYFUNCTION("INDEX(GOOGLEFINANCE(A720, ""close"", $K$1, $K$1), 2, 2)"),340.77)</f>
        <v>340.77</v>
      </c>
      <c r="L720" s="8">
        <f t="shared" si="1"/>
        <v>3.235481232</v>
      </c>
      <c r="M720" s="18">
        <f t="shared" si="2"/>
        <v>32.35481232</v>
      </c>
      <c r="N720" s="18" t="str">
        <f t="shared" si="3"/>
        <v>Put Spread</v>
      </c>
      <c r="O720" s="18" t="str">
        <f t="shared" si="4"/>
        <v>Success</v>
      </c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</row>
    <row r="721">
      <c r="A721" s="13" t="s">
        <v>744</v>
      </c>
      <c r="B721" s="26" t="s">
        <v>47</v>
      </c>
      <c r="C721" s="15">
        <v>195.74</v>
      </c>
      <c r="D721" s="13" t="s">
        <v>48</v>
      </c>
      <c r="E721" s="15">
        <v>202.42</v>
      </c>
      <c r="F721" s="15">
        <v>3.0</v>
      </c>
      <c r="G721" s="15">
        <v>2.0</v>
      </c>
      <c r="H721" s="15">
        <v>5.0</v>
      </c>
      <c r="I721" s="16">
        <v>0.0</v>
      </c>
      <c r="J721" s="17">
        <f>IFERROR(__xludf.DUMMYFUNCTION("INDEX(GOOGLEFINANCE(A721, ""open"", $J$1, $J$1), 2, 2)"),199.21)</f>
        <v>199.21</v>
      </c>
      <c r="K721" s="17">
        <f>IFERROR(__xludf.DUMMYFUNCTION("INDEX(GOOGLEFINANCE(A721, ""close"", $K$1, $K$1), 2, 2)"),192.76)</f>
        <v>192.76</v>
      </c>
      <c r="L721" s="8">
        <f t="shared" si="1"/>
        <v>3.237789268</v>
      </c>
      <c r="M721" s="18">
        <f t="shared" si="2"/>
        <v>32.37789268</v>
      </c>
      <c r="N721" s="18" t="str">
        <f t="shared" si="3"/>
        <v>Call Spread</v>
      </c>
      <c r="O721" s="18" t="str">
        <f t="shared" si="4"/>
        <v>Success</v>
      </c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</row>
    <row r="722">
      <c r="A722" s="13" t="s">
        <v>745</v>
      </c>
      <c r="B722" s="14" t="s">
        <v>18</v>
      </c>
      <c r="C722" s="15">
        <v>26.34</v>
      </c>
      <c r="D722" s="13" t="s">
        <v>19</v>
      </c>
      <c r="E722" s="15">
        <v>23.02</v>
      </c>
      <c r="F722" s="15">
        <v>5.0</v>
      </c>
      <c r="G722" s="15">
        <v>2.0</v>
      </c>
      <c r="H722" s="15">
        <v>5.0</v>
      </c>
      <c r="I722" s="16">
        <v>0.0</v>
      </c>
      <c r="J722" s="17">
        <f>IFERROR(__xludf.DUMMYFUNCTION("INDEX(GOOGLEFINANCE(A722, ""open"", $J$1, $J$1), 2, 2)"),24.77)</f>
        <v>24.77</v>
      </c>
      <c r="K722" s="17">
        <f>IFERROR(__xludf.DUMMYFUNCTION("INDEX(GOOGLEFINANCE(A722, ""close"", $K$1, $K$1), 2, 2)"),25.59)</f>
        <v>25.59</v>
      </c>
      <c r="L722" s="8">
        <f t="shared" si="1"/>
        <v>3.310456197</v>
      </c>
      <c r="M722" s="18">
        <f t="shared" si="2"/>
        <v>33.10456197</v>
      </c>
      <c r="N722" s="18" t="str">
        <f t="shared" si="3"/>
        <v>Put Spread</v>
      </c>
      <c r="O722" s="18" t="str">
        <f t="shared" si="4"/>
        <v>Success</v>
      </c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</row>
    <row r="723">
      <c r="A723" s="13" t="s">
        <v>746</v>
      </c>
      <c r="B723" s="14" t="s">
        <v>18</v>
      </c>
      <c r="C723" s="15">
        <v>551.19</v>
      </c>
      <c r="D723" s="13" t="s">
        <v>19</v>
      </c>
      <c r="E723" s="15">
        <v>518.71</v>
      </c>
      <c r="F723" s="15">
        <v>3.0</v>
      </c>
      <c r="G723" s="15">
        <v>3.0</v>
      </c>
      <c r="H723" s="15">
        <v>5.0</v>
      </c>
      <c r="I723" s="16">
        <v>0.0</v>
      </c>
      <c r="J723" s="17">
        <f>IFERROR(__xludf.DUMMYFUNCTION("INDEX(GOOGLEFINANCE(A723, ""open"", $J$1, $J$1), 2, 2)"),533.33)</f>
        <v>533.33</v>
      </c>
      <c r="K723" s="17">
        <f>IFERROR(__xludf.DUMMYFUNCTION("INDEX(GOOGLEFINANCE(A723, ""close"", $K$1, $K$1), 2, 2)"),545.66)</f>
        <v>545.66</v>
      </c>
      <c r="L723" s="8">
        <f t="shared" si="1"/>
        <v>2.311889449</v>
      </c>
      <c r="M723" s="18">
        <f t="shared" si="2"/>
        <v>23.11889449</v>
      </c>
      <c r="N723" s="18" t="str">
        <f t="shared" si="3"/>
        <v>Put Spread</v>
      </c>
      <c r="O723" s="18" t="str">
        <f t="shared" si="4"/>
        <v>Success</v>
      </c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</row>
    <row r="724">
      <c r="A724" s="13" t="s">
        <v>747</v>
      </c>
      <c r="B724" s="26" t="s">
        <v>47</v>
      </c>
      <c r="C724" s="15">
        <v>84.55</v>
      </c>
      <c r="D724" s="13" t="s">
        <v>48</v>
      </c>
      <c r="E724" s="15">
        <v>100.13</v>
      </c>
      <c r="F724" s="15">
        <v>1.0</v>
      </c>
      <c r="G724" s="15">
        <v>3.0</v>
      </c>
      <c r="H724" s="15">
        <v>4.0</v>
      </c>
      <c r="I724" s="16">
        <v>-0.7207133</v>
      </c>
      <c r="J724" s="17">
        <f>IFERROR(__xludf.DUMMYFUNCTION("INDEX(GOOGLEFINANCE(A724, ""open"", $J$1, $J$1), 2, 2)"),94.2)</f>
        <v>94.2</v>
      </c>
      <c r="K724" s="17">
        <f>IFERROR(__xludf.DUMMYFUNCTION("INDEX(GOOGLEFINANCE(A724, ""close"", $K$1, $K$1), 2, 2)"),91.06)</f>
        <v>91.06</v>
      </c>
      <c r="L724" s="8">
        <f t="shared" si="1"/>
        <v>3.333333333</v>
      </c>
      <c r="M724" s="18">
        <f t="shared" si="2"/>
        <v>33.33333333</v>
      </c>
      <c r="N724" s="18" t="str">
        <f t="shared" si="3"/>
        <v>Call Spread</v>
      </c>
      <c r="O724" s="18" t="str">
        <f t="shared" si="4"/>
        <v>Success</v>
      </c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</row>
    <row r="725">
      <c r="A725" s="13" t="s">
        <v>748</v>
      </c>
      <c r="B725" s="26" t="s">
        <v>47</v>
      </c>
      <c r="C725" s="15">
        <v>858.39</v>
      </c>
      <c r="D725" s="13" t="s">
        <v>48</v>
      </c>
      <c r="E725" s="15">
        <v>945.79</v>
      </c>
      <c r="F725" s="15">
        <v>0.0</v>
      </c>
      <c r="G725" s="15">
        <v>2.0</v>
      </c>
      <c r="H725" s="15">
        <v>3.0</v>
      </c>
      <c r="I725" s="16">
        <v>0.0</v>
      </c>
      <c r="J725" s="17">
        <f>IFERROR(__xludf.DUMMYFUNCTION("INDEX(GOOGLEFINANCE(A725, ""open"", $J$1, $J$1), 2, 2)"),917.36)</f>
        <v>917.36</v>
      </c>
      <c r="K725" s="17">
        <f>IFERROR(__xludf.DUMMYFUNCTION("INDEX(GOOGLEFINANCE(A725, ""close"", $K$1, $K$1), 2, 2)"),886.64)</f>
        <v>886.64</v>
      </c>
      <c r="L725" s="8">
        <f t="shared" si="1"/>
        <v>3.348739862</v>
      </c>
      <c r="M725" s="18">
        <f t="shared" si="2"/>
        <v>33.48739862</v>
      </c>
      <c r="N725" s="18" t="str">
        <f t="shared" si="3"/>
        <v>Call Spread</v>
      </c>
      <c r="O725" s="18" t="str">
        <f t="shared" si="4"/>
        <v>Success</v>
      </c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</row>
    <row r="726">
      <c r="A726" s="13" t="s">
        <v>749</v>
      </c>
      <c r="B726" s="26" t="s">
        <v>47</v>
      </c>
      <c r="C726" s="15">
        <v>214.08</v>
      </c>
      <c r="D726" s="13" t="s">
        <v>48</v>
      </c>
      <c r="E726" s="15">
        <v>235.42</v>
      </c>
      <c r="F726" s="15">
        <v>1.0</v>
      </c>
      <c r="G726" s="15">
        <v>3.0</v>
      </c>
      <c r="H726" s="15">
        <v>2.0</v>
      </c>
      <c r="I726" s="16">
        <v>-0.9196009</v>
      </c>
      <c r="J726" s="17">
        <f>IFERROR(__xludf.DUMMYFUNCTION("INDEX(GOOGLEFINANCE(A726, ""open"", $J$1, $J$1), 2, 2)"),228.23)</f>
        <v>228.23</v>
      </c>
      <c r="K726" s="17">
        <f>IFERROR(__xludf.DUMMYFUNCTION("INDEX(GOOGLEFINANCE(A726, ""close"", $K$1, $K$1), 2, 2)"),220.58)</f>
        <v>220.58</v>
      </c>
      <c r="L726" s="8">
        <f t="shared" si="1"/>
        <v>3.351881874</v>
      </c>
      <c r="M726" s="18">
        <f t="shared" si="2"/>
        <v>33.51881874</v>
      </c>
      <c r="N726" s="18" t="str">
        <f t="shared" si="3"/>
        <v>Call Spread</v>
      </c>
      <c r="O726" s="18" t="str">
        <f t="shared" si="4"/>
        <v>Success</v>
      </c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</row>
    <row r="727">
      <c r="A727" s="13" t="s">
        <v>750</v>
      </c>
      <c r="B727" s="26" t="s">
        <v>47</v>
      </c>
      <c r="C727" s="15">
        <v>3.08</v>
      </c>
      <c r="D727" s="13" t="s">
        <v>48</v>
      </c>
      <c r="E727" s="15">
        <v>4.0</v>
      </c>
      <c r="F727" s="15">
        <v>3.0</v>
      </c>
      <c r="G727" s="15">
        <v>2.0</v>
      </c>
      <c r="H727" s="15">
        <v>5.0</v>
      </c>
      <c r="I727" s="16">
        <v>0.0</v>
      </c>
      <c r="J727" s="17">
        <f>IFERROR(__xludf.DUMMYFUNCTION("INDEX(GOOGLEFINANCE(A727, ""open"", $J$1, $J$1), 2, 2)"),3.56)</f>
        <v>3.56</v>
      </c>
      <c r="K727" s="17">
        <f>IFERROR(__xludf.DUMMYFUNCTION("INDEX(GOOGLEFINANCE(A727, ""close"", $K$1, $K$1), 2, 2)"),3.44)</f>
        <v>3.44</v>
      </c>
      <c r="L727" s="8">
        <f t="shared" si="1"/>
        <v>3.370786517</v>
      </c>
      <c r="M727" s="18">
        <f t="shared" si="2"/>
        <v>33.70786517</v>
      </c>
      <c r="N727" s="18" t="str">
        <f t="shared" si="3"/>
        <v>Call Spread</v>
      </c>
      <c r="O727" s="18" t="str">
        <f t="shared" si="4"/>
        <v>Success</v>
      </c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</row>
    <row r="728">
      <c r="A728" s="13" t="s">
        <v>751</v>
      </c>
      <c r="B728" s="26" t="s">
        <v>47</v>
      </c>
      <c r="C728" s="15">
        <v>67.47</v>
      </c>
      <c r="D728" s="13" t="s">
        <v>48</v>
      </c>
      <c r="E728" s="15">
        <v>78.39</v>
      </c>
      <c r="F728" s="15">
        <v>2.0</v>
      </c>
      <c r="G728" s="15">
        <v>3.0</v>
      </c>
      <c r="H728" s="15">
        <v>0.0</v>
      </c>
      <c r="I728" s="16">
        <v>-1.0993563</v>
      </c>
      <c r="J728" s="17">
        <f>IFERROR(__xludf.DUMMYFUNCTION("INDEX(GOOGLEFINANCE(A728, ""open"", $J$1, $J$1), 2, 2)"),73.05)</f>
        <v>73.05</v>
      </c>
      <c r="K728" s="17">
        <f>IFERROR(__xludf.DUMMYFUNCTION("INDEX(GOOGLEFINANCE(A728, ""close"", $K$1, $K$1), 2, 2)"),70.57)</f>
        <v>70.57</v>
      </c>
      <c r="L728" s="8">
        <f t="shared" si="1"/>
        <v>3.394934976</v>
      </c>
      <c r="M728" s="18">
        <f t="shared" si="2"/>
        <v>33.94934976</v>
      </c>
      <c r="N728" s="18" t="str">
        <f t="shared" si="3"/>
        <v>Call Spread</v>
      </c>
      <c r="O728" s="18" t="str">
        <f t="shared" si="4"/>
        <v>Success</v>
      </c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</row>
    <row r="729">
      <c r="A729" s="13" t="s">
        <v>752</v>
      </c>
      <c r="B729" s="26" t="s">
        <v>47</v>
      </c>
      <c r="C729" s="15">
        <v>478.49</v>
      </c>
      <c r="D729" s="13" t="s">
        <v>48</v>
      </c>
      <c r="E729" s="15">
        <v>513.23</v>
      </c>
      <c r="F729" s="15">
        <v>1.0</v>
      </c>
      <c r="G729" s="15">
        <v>1.0</v>
      </c>
      <c r="H729" s="15">
        <v>1.0</v>
      </c>
      <c r="I729" s="16">
        <v>0.0</v>
      </c>
      <c r="J729" s="17">
        <f>IFERROR(__xludf.DUMMYFUNCTION("INDEX(GOOGLEFINANCE(A729, ""open"", $J$1, $J$1), 2, 2)"),498.0)</f>
        <v>498</v>
      </c>
      <c r="K729" s="17">
        <f>IFERROR(__xludf.DUMMYFUNCTION("INDEX(GOOGLEFINANCE(A729, ""close"", $K$1, $K$1), 2, 2)"),483.12)</f>
        <v>483.12</v>
      </c>
      <c r="L729" s="8">
        <f t="shared" si="1"/>
        <v>2.987951807</v>
      </c>
      <c r="M729" s="18">
        <f t="shared" si="2"/>
        <v>29.87951807</v>
      </c>
      <c r="N729" s="18" t="str">
        <f t="shared" si="3"/>
        <v>Call Spread</v>
      </c>
      <c r="O729" s="18" t="str">
        <f t="shared" si="4"/>
        <v>Success</v>
      </c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</row>
    <row r="730">
      <c r="A730" s="13" t="s">
        <v>753</v>
      </c>
      <c r="B730" s="14" t="s">
        <v>18</v>
      </c>
      <c r="C730" s="15">
        <v>61.74</v>
      </c>
      <c r="D730" s="13" t="s">
        <v>19</v>
      </c>
      <c r="E730" s="15">
        <v>57.94</v>
      </c>
      <c r="F730" s="15">
        <v>3.0</v>
      </c>
      <c r="G730" s="15">
        <v>3.0</v>
      </c>
      <c r="H730" s="15">
        <v>5.0</v>
      </c>
      <c r="I730" s="16">
        <v>0.0</v>
      </c>
      <c r="J730" s="17">
        <f>IFERROR(__xludf.DUMMYFUNCTION("INDEX(GOOGLEFINANCE(A730, ""open"", $J$1, $J$1), 2, 2)"),59.75)</f>
        <v>59.75</v>
      </c>
      <c r="K730" s="17">
        <f>IFERROR(__xludf.DUMMYFUNCTION("INDEX(GOOGLEFINANCE(A730, ""close"", $K$1, $K$1), 2, 2)"),61.78)</f>
        <v>61.78</v>
      </c>
      <c r="L730" s="8">
        <f t="shared" si="1"/>
        <v>3.39748954</v>
      </c>
      <c r="M730" s="18">
        <f t="shared" si="2"/>
        <v>33.9748954</v>
      </c>
      <c r="N730" s="18" t="str">
        <f t="shared" si="3"/>
        <v>Put Spread</v>
      </c>
      <c r="O730" s="18" t="str">
        <f t="shared" si="4"/>
        <v>Success</v>
      </c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</row>
    <row r="731">
      <c r="A731" s="13" t="s">
        <v>754</v>
      </c>
      <c r="B731" s="14" t="s">
        <v>18</v>
      </c>
      <c r="C731" s="15">
        <v>403.51</v>
      </c>
      <c r="D731" s="13" t="s">
        <v>19</v>
      </c>
      <c r="E731" s="15">
        <v>324.77</v>
      </c>
      <c r="F731" s="15">
        <v>3.0</v>
      </c>
      <c r="G731" s="15">
        <v>3.0</v>
      </c>
      <c r="H731" s="15">
        <v>5.0</v>
      </c>
      <c r="I731" s="16">
        <v>0.0</v>
      </c>
      <c r="J731" s="17">
        <f>IFERROR(__xludf.DUMMYFUNCTION("INDEX(GOOGLEFINANCE(A731, ""open"", $J$1, $J$1), 2, 2)"),366.5)</f>
        <v>366.5</v>
      </c>
      <c r="K731" s="17">
        <f>IFERROR(__xludf.DUMMYFUNCTION("INDEX(GOOGLEFINANCE(A731, ""close"", $K$1, $K$1), 2, 2)"),379.17)</f>
        <v>379.17</v>
      </c>
      <c r="L731" s="8">
        <f t="shared" si="1"/>
        <v>3.457025921</v>
      </c>
      <c r="M731" s="18">
        <f t="shared" si="2"/>
        <v>34.57025921</v>
      </c>
      <c r="N731" s="18" t="str">
        <f t="shared" si="3"/>
        <v>Put Spread</v>
      </c>
      <c r="O731" s="18" t="str">
        <f t="shared" si="4"/>
        <v>Success</v>
      </c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</row>
    <row r="732">
      <c r="A732" s="13" t="s">
        <v>755</v>
      </c>
      <c r="B732" s="14" t="s">
        <v>18</v>
      </c>
      <c r="C732" s="15">
        <v>211.94</v>
      </c>
      <c r="D732" s="13" t="s">
        <v>19</v>
      </c>
      <c r="E732" s="15">
        <v>197.08</v>
      </c>
      <c r="F732" s="15">
        <v>3.0</v>
      </c>
      <c r="G732" s="15">
        <v>2.0</v>
      </c>
      <c r="H732" s="15">
        <v>5.0</v>
      </c>
      <c r="I732" s="16">
        <v>-0.6914136</v>
      </c>
      <c r="J732" s="17">
        <f>IFERROR(__xludf.DUMMYFUNCTION("INDEX(GOOGLEFINANCE(A732, ""open"", $J$1, $J$1), 2, 2)"),204.55)</f>
        <v>204.55</v>
      </c>
      <c r="K732" s="17">
        <f>IFERROR(__xludf.DUMMYFUNCTION("INDEX(GOOGLEFINANCE(A732, ""close"", $K$1, $K$1), 2, 2)"),212.11)</f>
        <v>212.11</v>
      </c>
      <c r="L732" s="8">
        <f t="shared" si="1"/>
        <v>3.695917868</v>
      </c>
      <c r="M732" s="18">
        <f t="shared" si="2"/>
        <v>36.95917868</v>
      </c>
      <c r="N732" s="18" t="str">
        <f t="shared" si="3"/>
        <v>Put Spread</v>
      </c>
      <c r="O732" s="18" t="str">
        <f t="shared" si="4"/>
        <v>Success</v>
      </c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</row>
    <row r="733">
      <c r="A733" s="13" t="s">
        <v>756</v>
      </c>
      <c r="B733" s="26" t="s">
        <v>47</v>
      </c>
      <c r="C733" s="15">
        <v>77.27</v>
      </c>
      <c r="D733" s="13" t="s">
        <v>48</v>
      </c>
      <c r="E733" s="15">
        <v>82.93</v>
      </c>
      <c r="F733" s="15">
        <v>1.0</v>
      </c>
      <c r="G733" s="15">
        <v>3.0</v>
      </c>
      <c r="H733" s="15">
        <v>1.0</v>
      </c>
      <c r="I733" s="16">
        <v>0.0</v>
      </c>
      <c r="J733" s="17">
        <f>IFERROR(__xludf.DUMMYFUNCTION("INDEX(GOOGLEFINANCE(A733, ""open"", $J$1, $J$1), 2, 2)"),79.96)</f>
        <v>79.96</v>
      </c>
      <c r="K733" s="17">
        <f>IFERROR(__xludf.DUMMYFUNCTION("INDEX(GOOGLEFINANCE(A733, ""close"", $K$1, $K$1), 2, 2)"),77.0)</f>
        <v>77</v>
      </c>
      <c r="L733" s="8">
        <f t="shared" si="1"/>
        <v>3.701850925</v>
      </c>
      <c r="M733" s="18">
        <f t="shared" si="2"/>
        <v>37.01850925</v>
      </c>
      <c r="N733" s="18" t="str">
        <f t="shared" si="3"/>
        <v>Call Spread</v>
      </c>
      <c r="O733" s="18" t="str">
        <f t="shared" si="4"/>
        <v>Success</v>
      </c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</row>
    <row r="734">
      <c r="A734" s="13" t="s">
        <v>757</v>
      </c>
      <c r="B734" s="14" t="s">
        <v>18</v>
      </c>
      <c r="C734" s="15">
        <v>112.31</v>
      </c>
      <c r="D734" s="13" t="s">
        <v>19</v>
      </c>
      <c r="E734" s="15">
        <v>107.27</v>
      </c>
      <c r="F734" s="15">
        <v>5.0</v>
      </c>
      <c r="G734" s="15">
        <v>1.0</v>
      </c>
      <c r="H734" s="15">
        <v>5.0</v>
      </c>
      <c r="I734" s="16">
        <v>0.0</v>
      </c>
      <c r="J734" s="17">
        <f>IFERROR(__xludf.DUMMYFUNCTION("INDEX(GOOGLEFINANCE(A734, ""open"", $J$1, $J$1), 2, 2)"),109.5)</f>
        <v>109.5</v>
      </c>
      <c r="K734" s="17">
        <f>IFERROR(__xludf.DUMMYFUNCTION("INDEX(GOOGLEFINANCE(A734, ""close"", $K$1, $K$1), 2, 2)"),113.58)</f>
        <v>113.58</v>
      </c>
      <c r="L734" s="8">
        <f t="shared" si="1"/>
        <v>3.726027397</v>
      </c>
      <c r="M734" s="18">
        <f t="shared" si="2"/>
        <v>37.26027397</v>
      </c>
      <c r="N734" s="18" t="str">
        <f t="shared" si="3"/>
        <v>Put Spread</v>
      </c>
      <c r="O734" s="18" t="str">
        <f t="shared" si="4"/>
        <v>Success</v>
      </c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</row>
    <row r="735">
      <c r="A735" s="13" t="s">
        <v>758</v>
      </c>
      <c r="B735" s="26" t="s">
        <v>47</v>
      </c>
      <c r="C735" s="15">
        <v>179.2</v>
      </c>
      <c r="D735" s="13" t="s">
        <v>48</v>
      </c>
      <c r="E735" s="15">
        <v>190.78</v>
      </c>
      <c r="F735" s="15">
        <v>0.0</v>
      </c>
      <c r="G735" s="15">
        <v>1.0</v>
      </c>
      <c r="H735" s="15">
        <v>2.0</v>
      </c>
      <c r="I735" s="16">
        <v>0.0</v>
      </c>
      <c r="J735" s="17">
        <f>IFERROR(__xludf.DUMMYFUNCTION("INDEX(GOOGLEFINANCE(A735, ""open"", $J$1, $J$1), 2, 2)"),187.88)</f>
        <v>187.88</v>
      </c>
      <c r="K735" s="17">
        <f>IFERROR(__xludf.DUMMYFUNCTION("INDEX(GOOGLEFINANCE(A735, ""close"", $K$1, $K$1), 2, 2)"),180.86)</f>
        <v>180.86</v>
      </c>
      <c r="L735" s="20">
        <f t="shared" si="1"/>
        <v>3.736427507</v>
      </c>
      <c r="M735" s="18">
        <f t="shared" si="2"/>
        <v>37.36427507</v>
      </c>
      <c r="N735" s="18" t="str">
        <f t="shared" si="3"/>
        <v>Call Spread</v>
      </c>
      <c r="O735" s="18" t="str">
        <f t="shared" si="4"/>
        <v>Success</v>
      </c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</row>
    <row r="736">
      <c r="A736" s="13" t="s">
        <v>759</v>
      </c>
      <c r="B736" s="26" t="s">
        <v>47</v>
      </c>
      <c r="C736" s="15">
        <v>49.25</v>
      </c>
      <c r="D736" s="13" t="s">
        <v>48</v>
      </c>
      <c r="E736" s="15">
        <v>53.13</v>
      </c>
      <c r="F736" s="15">
        <v>1.0</v>
      </c>
      <c r="G736" s="15">
        <v>2.0</v>
      </c>
      <c r="H736" s="15">
        <v>3.0</v>
      </c>
      <c r="I736" s="16">
        <v>0.0</v>
      </c>
      <c r="J736" s="17">
        <f>IFERROR(__xludf.DUMMYFUNCTION("INDEX(GOOGLEFINANCE(A736, ""open"", $J$1, $J$1), 2, 2)"),50.65)</f>
        <v>50.65</v>
      </c>
      <c r="K736" s="17">
        <f>IFERROR(__xludf.DUMMYFUNCTION("INDEX(GOOGLEFINANCE(A736, ""close"", $K$1, $K$1), 2, 2)"),48.72)</f>
        <v>48.72</v>
      </c>
      <c r="L736" s="8">
        <f t="shared" si="1"/>
        <v>3.810463968</v>
      </c>
      <c r="M736" s="18">
        <f t="shared" si="2"/>
        <v>38.10463968</v>
      </c>
      <c r="N736" s="18" t="str">
        <f t="shared" si="3"/>
        <v>Call Spread</v>
      </c>
      <c r="O736" s="18" t="str">
        <f t="shared" si="4"/>
        <v>Success</v>
      </c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</row>
    <row r="737">
      <c r="A737" s="13" t="s">
        <v>760</v>
      </c>
      <c r="B737" s="14" t="s">
        <v>18</v>
      </c>
      <c r="C737" s="15">
        <v>151.63</v>
      </c>
      <c r="D737" s="13" t="s">
        <v>19</v>
      </c>
      <c r="E737" s="15">
        <v>139.01</v>
      </c>
      <c r="F737" s="15">
        <v>5.0</v>
      </c>
      <c r="G737" s="15">
        <v>1.0</v>
      </c>
      <c r="H737" s="15">
        <v>4.0</v>
      </c>
      <c r="I737" s="16">
        <v>-1.0722796</v>
      </c>
      <c r="J737" s="17">
        <f>IFERROR(__xludf.DUMMYFUNCTION("INDEX(GOOGLEFINANCE(A737, ""open"", $J$1, $J$1), 2, 2)"),144.74)</f>
        <v>144.74</v>
      </c>
      <c r="K737" s="17">
        <f>IFERROR(__xludf.DUMMYFUNCTION("INDEX(GOOGLEFINANCE(A737, ""close"", $K$1, $K$1), 2, 2)"),150.3)</f>
        <v>150.3</v>
      </c>
      <c r="L737" s="8">
        <f t="shared" si="1"/>
        <v>3.841370734</v>
      </c>
      <c r="M737" s="18">
        <f t="shared" si="2"/>
        <v>38.41370734</v>
      </c>
      <c r="N737" s="18" t="str">
        <f t="shared" si="3"/>
        <v>Put Spread</v>
      </c>
      <c r="O737" s="18" t="str">
        <f t="shared" si="4"/>
        <v>Success</v>
      </c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</row>
    <row r="738">
      <c r="A738" s="13" t="s">
        <v>761</v>
      </c>
      <c r="B738" s="14" t="s">
        <v>18</v>
      </c>
      <c r="C738" s="15">
        <v>135.54</v>
      </c>
      <c r="D738" s="13" t="s">
        <v>19</v>
      </c>
      <c r="E738" s="15">
        <v>108.92</v>
      </c>
      <c r="F738" s="15">
        <v>5.0</v>
      </c>
      <c r="G738" s="15">
        <v>3.0</v>
      </c>
      <c r="H738" s="15">
        <v>5.0</v>
      </c>
      <c r="I738" s="16">
        <v>2.23300278</v>
      </c>
      <c r="J738" s="17">
        <f>IFERROR(__xludf.DUMMYFUNCTION("INDEX(GOOGLEFINANCE(A738, ""open"", $J$1, $J$1), 2, 2)"),126.17)</f>
        <v>126.17</v>
      </c>
      <c r="K738" s="17">
        <f>IFERROR(__xludf.DUMMYFUNCTION("INDEX(GOOGLEFINANCE(A738, ""close"", $K$1, $K$1), 2, 2)"),131.1)</f>
        <v>131.1</v>
      </c>
      <c r="L738" s="20">
        <f t="shared" si="1"/>
        <v>3.907426488</v>
      </c>
      <c r="M738" s="18">
        <f t="shared" si="2"/>
        <v>39.07426488</v>
      </c>
      <c r="N738" s="18" t="str">
        <f t="shared" si="3"/>
        <v>Put Spread</v>
      </c>
      <c r="O738" s="18" t="str">
        <f t="shared" si="4"/>
        <v>Success</v>
      </c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</row>
    <row r="739">
      <c r="A739" s="13" t="s">
        <v>762</v>
      </c>
      <c r="B739" s="14" t="s">
        <v>18</v>
      </c>
      <c r="C739" s="15">
        <v>4.11</v>
      </c>
      <c r="D739" s="13" t="s">
        <v>19</v>
      </c>
      <c r="E739" s="15">
        <v>3.01</v>
      </c>
      <c r="F739" s="15">
        <v>3.0</v>
      </c>
      <c r="G739" s="15">
        <v>3.0</v>
      </c>
      <c r="H739" s="15">
        <v>2.0</v>
      </c>
      <c r="I739" s="16">
        <v>0.0</v>
      </c>
      <c r="J739" s="17">
        <f>IFERROR(__xludf.DUMMYFUNCTION("INDEX(GOOGLEFINANCE(A739, ""open"", $J$1, $J$1), 2, 2)"),3.58)</f>
        <v>3.58</v>
      </c>
      <c r="K739" s="17">
        <f>IFERROR(__xludf.DUMMYFUNCTION("INDEX(GOOGLEFINANCE(A739, ""close"", $K$1, $K$1), 2, 2)"),3.72)</f>
        <v>3.72</v>
      </c>
      <c r="L739" s="20">
        <f t="shared" si="1"/>
        <v>3.910614525</v>
      </c>
      <c r="M739" s="18">
        <f t="shared" si="2"/>
        <v>39.10614525</v>
      </c>
      <c r="N739" s="18" t="str">
        <f t="shared" si="3"/>
        <v>Put Spread</v>
      </c>
      <c r="O739" s="18" t="str">
        <f t="shared" si="4"/>
        <v>Success</v>
      </c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</row>
    <row r="740">
      <c r="A740" s="13" t="s">
        <v>763</v>
      </c>
      <c r="B740" s="26" t="s">
        <v>47</v>
      </c>
      <c r="C740" s="15">
        <v>253.03</v>
      </c>
      <c r="D740" s="13" t="s">
        <v>48</v>
      </c>
      <c r="E740" s="15">
        <v>266.41</v>
      </c>
      <c r="F740" s="15">
        <v>1.0</v>
      </c>
      <c r="G740" s="15">
        <v>1.0</v>
      </c>
      <c r="H740" s="15">
        <v>2.0</v>
      </c>
      <c r="I740" s="16">
        <v>0.0</v>
      </c>
      <c r="J740" s="17">
        <f>IFERROR(__xludf.DUMMYFUNCTION("INDEX(GOOGLEFINANCE(A740, ""open"", $J$1, $J$1), 2, 2)"),260.3)</f>
        <v>260.3</v>
      </c>
      <c r="K740" s="17">
        <f>IFERROR(__xludf.DUMMYFUNCTION("INDEX(GOOGLEFINANCE(A740, ""close"", $K$1, $K$1), 2, 2)"),250.05)</f>
        <v>250.05</v>
      </c>
      <c r="L740" s="8">
        <f t="shared" si="1"/>
        <v>3.937764118</v>
      </c>
      <c r="M740" s="18">
        <f t="shared" si="2"/>
        <v>39.37764118</v>
      </c>
      <c r="N740" s="18" t="str">
        <f t="shared" si="3"/>
        <v>Call Spread</v>
      </c>
      <c r="O740" s="18" t="str">
        <f t="shared" si="4"/>
        <v>Success</v>
      </c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</row>
    <row r="741">
      <c r="A741" s="13" t="s">
        <v>764</v>
      </c>
      <c r="B741" s="14" t="s">
        <v>18</v>
      </c>
      <c r="C741" s="15">
        <v>157.54</v>
      </c>
      <c r="D741" s="13" t="s">
        <v>19</v>
      </c>
      <c r="E741" s="15">
        <v>145.82</v>
      </c>
      <c r="F741" s="15">
        <v>3.0</v>
      </c>
      <c r="G741" s="15">
        <v>3.0</v>
      </c>
      <c r="H741" s="15">
        <v>2.0</v>
      </c>
      <c r="I741" s="16">
        <v>-2.0518495</v>
      </c>
      <c r="J741" s="17">
        <f>IFERROR(__xludf.DUMMYFUNCTION("INDEX(GOOGLEFINANCE(A741, ""open"", $J$1, $J$1), 2, 2)"),151.0)</f>
        <v>151</v>
      </c>
      <c r="K741" s="17">
        <f>IFERROR(__xludf.DUMMYFUNCTION("INDEX(GOOGLEFINANCE(A741, ""close"", $K$1, $K$1), 2, 2)"),157.08)</f>
        <v>157.08</v>
      </c>
      <c r="L741" s="8">
        <f t="shared" si="1"/>
        <v>4.026490066</v>
      </c>
      <c r="M741" s="18">
        <f t="shared" si="2"/>
        <v>40.26490066</v>
      </c>
      <c r="N741" s="18" t="str">
        <f t="shared" si="3"/>
        <v>Put Spread</v>
      </c>
      <c r="O741" s="18" t="str">
        <f t="shared" si="4"/>
        <v>Success</v>
      </c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</row>
    <row r="742">
      <c r="A742" s="13" t="s">
        <v>765</v>
      </c>
      <c r="B742" s="26" t="s">
        <v>47</v>
      </c>
      <c r="C742" s="15">
        <v>8.71</v>
      </c>
      <c r="D742" s="13" t="s">
        <v>48</v>
      </c>
      <c r="E742" s="15">
        <v>10.01</v>
      </c>
      <c r="F742" s="15">
        <v>0.0</v>
      </c>
      <c r="G742" s="15">
        <v>3.0</v>
      </c>
      <c r="H742" s="15">
        <v>4.0</v>
      </c>
      <c r="I742" s="16">
        <v>0.18103691</v>
      </c>
      <c r="J742" s="17">
        <f>IFERROR(__xludf.DUMMYFUNCTION("INDEX(GOOGLEFINANCE(A742, ""open"", $J$1, $J$1), 2, 2)"),9.36)</f>
        <v>9.36</v>
      </c>
      <c r="K742" s="17">
        <f>IFERROR(__xludf.DUMMYFUNCTION("INDEX(GOOGLEFINANCE(A742, ""close"", $K$1, $K$1), 2, 2)"),8.98)</f>
        <v>8.98</v>
      </c>
      <c r="L742" s="8">
        <f t="shared" si="1"/>
        <v>4.05982906</v>
      </c>
      <c r="M742" s="18">
        <f t="shared" si="2"/>
        <v>40.5982906</v>
      </c>
      <c r="N742" s="18" t="str">
        <f t="shared" si="3"/>
        <v>Call Spread</v>
      </c>
      <c r="O742" s="18" t="str">
        <f t="shared" si="4"/>
        <v>Success</v>
      </c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</row>
    <row r="743">
      <c r="A743" s="13" t="s">
        <v>766</v>
      </c>
      <c r="B743" s="26" t="s">
        <v>47</v>
      </c>
      <c r="C743" s="15">
        <v>10.88</v>
      </c>
      <c r="D743" s="13" t="s">
        <v>48</v>
      </c>
      <c r="E743" s="15">
        <v>12.12</v>
      </c>
      <c r="F743" s="15">
        <v>0.0</v>
      </c>
      <c r="G743" s="15">
        <v>1.0</v>
      </c>
      <c r="H743" s="15">
        <v>1.0</v>
      </c>
      <c r="I743" s="16">
        <v>0.0</v>
      </c>
      <c r="J743" s="17">
        <f>IFERROR(__xludf.DUMMYFUNCTION("INDEX(GOOGLEFINANCE(A743, ""open"", $J$1, $J$1), 2, 2)"),11.5)</f>
        <v>11.5</v>
      </c>
      <c r="K743" s="17">
        <f>IFERROR(__xludf.DUMMYFUNCTION("INDEX(GOOGLEFINANCE(A743, ""close"", $K$1, $K$1), 2, 2)"),11.03)</f>
        <v>11.03</v>
      </c>
      <c r="L743" s="8">
        <f t="shared" si="1"/>
        <v>4.086956522</v>
      </c>
      <c r="M743" s="18">
        <f t="shared" si="2"/>
        <v>40.86956522</v>
      </c>
      <c r="N743" s="18" t="str">
        <f t="shared" si="3"/>
        <v>Call Spread</v>
      </c>
      <c r="O743" s="18" t="str">
        <f t="shared" si="4"/>
        <v>Success</v>
      </c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</row>
    <row r="744">
      <c r="A744" s="13" t="s">
        <v>767</v>
      </c>
      <c r="B744" s="14" t="s">
        <v>18</v>
      </c>
      <c r="C744" s="15">
        <v>578.34</v>
      </c>
      <c r="D744" s="13" t="s">
        <v>19</v>
      </c>
      <c r="E744" s="15">
        <v>534.58</v>
      </c>
      <c r="F744" s="15">
        <v>5.0</v>
      </c>
      <c r="G744" s="15">
        <v>3.0</v>
      </c>
      <c r="H744" s="15">
        <v>1.0</v>
      </c>
      <c r="I744" s="16">
        <v>0.0</v>
      </c>
      <c r="J744" s="17">
        <f>IFERROR(__xludf.DUMMYFUNCTION("INDEX(GOOGLEFINANCE(A744, ""open"", $J$1, $J$1), 2, 2)"),558.55)</f>
        <v>558.55</v>
      </c>
      <c r="K744" s="17">
        <f>IFERROR(__xludf.DUMMYFUNCTION("INDEX(GOOGLEFINANCE(A744, ""close"", $K$1, $K$1), 2, 2)"),581.65)</f>
        <v>581.65</v>
      </c>
      <c r="L744" s="8">
        <f t="shared" si="1"/>
        <v>4.135708531</v>
      </c>
      <c r="M744" s="18">
        <f t="shared" si="2"/>
        <v>41.35708531</v>
      </c>
      <c r="N744" s="18" t="str">
        <f t="shared" si="3"/>
        <v>Put Spread</v>
      </c>
      <c r="O744" s="18" t="str">
        <f t="shared" si="4"/>
        <v>Success</v>
      </c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</row>
    <row r="745">
      <c r="A745" s="13" t="s">
        <v>768</v>
      </c>
      <c r="B745" s="26" t="s">
        <v>47</v>
      </c>
      <c r="C745" s="15">
        <v>58.76</v>
      </c>
      <c r="D745" s="13" t="s">
        <v>48</v>
      </c>
      <c r="E745" s="15">
        <v>61.86</v>
      </c>
      <c r="F745" s="15">
        <v>0.0</v>
      </c>
      <c r="G745" s="15">
        <v>3.0</v>
      </c>
      <c r="H745" s="15">
        <v>5.0</v>
      </c>
      <c r="I745" s="16">
        <v>0.0</v>
      </c>
      <c r="J745" s="17">
        <f>IFERROR(__xludf.DUMMYFUNCTION("INDEX(GOOGLEFINANCE(A745, ""open"", $J$1, $J$1), 2, 2)"),59.62)</f>
        <v>59.62</v>
      </c>
      <c r="K745" s="17">
        <f>IFERROR(__xludf.DUMMYFUNCTION("INDEX(GOOGLEFINANCE(A745, ""close"", $K$1, $K$1), 2, 2)"),57.15)</f>
        <v>57.15</v>
      </c>
      <c r="L745" s="20">
        <f t="shared" si="1"/>
        <v>4.142905065</v>
      </c>
      <c r="M745" s="18">
        <f t="shared" si="2"/>
        <v>41.42905065</v>
      </c>
      <c r="N745" s="18" t="str">
        <f t="shared" si="3"/>
        <v>Call Spread</v>
      </c>
      <c r="O745" s="18" t="str">
        <f t="shared" si="4"/>
        <v>Success</v>
      </c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</row>
    <row r="746">
      <c r="A746" s="13" t="s">
        <v>769</v>
      </c>
      <c r="B746" s="14" t="s">
        <v>18</v>
      </c>
      <c r="C746" s="15">
        <v>252.67</v>
      </c>
      <c r="D746" s="13" t="s">
        <v>19</v>
      </c>
      <c r="E746" s="15">
        <v>223.29</v>
      </c>
      <c r="F746" s="15">
        <v>5.0</v>
      </c>
      <c r="G746" s="15">
        <v>2.0</v>
      </c>
      <c r="H746" s="15">
        <v>3.0</v>
      </c>
      <c r="I746" s="16">
        <v>-1.0527797</v>
      </c>
      <c r="J746" s="17">
        <f>IFERROR(__xludf.DUMMYFUNCTION("INDEX(GOOGLEFINANCE(A746, ""open"", $J$1, $J$1), 2, 2)"),237.1)</f>
        <v>237.1</v>
      </c>
      <c r="K746" s="17">
        <f>IFERROR(__xludf.DUMMYFUNCTION("INDEX(GOOGLEFINANCE(A746, ""close"", $K$1, $K$1), 2, 2)"),247.26)</f>
        <v>247.26</v>
      </c>
      <c r="L746" s="20">
        <f t="shared" si="1"/>
        <v>4.285111767</v>
      </c>
      <c r="M746" s="18">
        <f t="shared" si="2"/>
        <v>42.85111767</v>
      </c>
      <c r="N746" s="18" t="str">
        <f t="shared" si="3"/>
        <v>Put Spread</v>
      </c>
      <c r="O746" s="18" t="str">
        <f t="shared" si="4"/>
        <v>Success</v>
      </c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</row>
    <row r="747">
      <c r="A747" s="13" t="s">
        <v>770</v>
      </c>
      <c r="B747" s="14" t="s">
        <v>18</v>
      </c>
      <c r="C747" s="15">
        <v>129.4</v>
      </c>
      <c r="D747" s="13" t="s">
        <v>19</v>
      </c>
      <c r="E747" s="15">
        <v>108.24</v>
      </c>
      <c r="F747" s="15">
        <v>4.0</v>
      </c>
      <c r="G747" s="15">
        <v>5.0</v>
      </c>
      <c r="H747" s="15">
        <v>4.0</v>
      </c>
      <c r="I747" s="16">
        <v>0.0</v>
      </c>
      <c r="J747" s="17">
        <f>IFERROR(__xludf.DUMMYFUNCTION("INDEX(GOOGLEFINANCE(A747, ""open"", $J$1, $J$1), 2, 2)"),119.83)</f>
        <v>119.83</v>
      </c>
      <c r="K747" s="17">
        <f>IFERROR(__xludf.DUMMYFUNCTION("INDEX(GOOGLEFINANCE(A747, ""close"", $K$1, $K$1), 2, 2)"),125.03)</f>
        <v>125.03</v>
      </c>
      <c r="L747" s="8">
        <f t="shared" si="1"/>
        <v>4.339480931</v>
      </c>
      <c r="M747" s="18">
        <f t="shared" si="2"/>
        <v>43.39480931</v>
      </c>
      <c r="N747" s="18" t="str">
        <f t="shared" si="3"/>
        <v>Put Spread</v>
      </c>
      <c r="O747" s="18" t="str">
        <f t="shared" si="4"/>
        <v>Success</v>
      </c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</row>
    <row r="748">
      <c r="A748" s="13" t="s">
        <v>771</v>
      </c>
      <c r="B748" s="14" t="s">
        <v>18</v>
      </c>
      <c r="C748" s="15">
        <v>144.54</v>
      </c>
      <c r="D748" s="13" t="s">
        <v>19</v>
      </c>
      <c r="E748" s="15">
        <v>136.1</v>
      </c>
      <c r="F748" s="15">
        <v>2.0</v>
      </c>
      <c r="G748" s="15">
        <v>2.0</v>
      </c>
      <c r="H748" s="15">
        <v>1.0</v>
      </c>
      <c r="I748" s="16">
        <v>0.0</v>
      </c>
      <c r="J748" s="17">
        <f>IFERROR(__xludf.DUMMYFUNCTION("INDEX(GOOGLEFINANCE(A748, ""open"", $J$1, $J$1), 2, 2)"),139.55)</f>
        <v>139.55</v>
      </c>
      <c r="K748" s="17">
        <f>IFERROR(__xludf.DUMMYFUNCTION("INDEX(GOOGLEFINANCE(A748, ""close"", $K$1, $K$1), 2, 2)"),145.72)</f>
        <v>145.72</v>
      </c>
      <c r="L748" s="8">
        <f t="shared" si="1"/>
        <v>4.421354353</v>
      </c>
      <c r="M748" s="18">
        <f t="shared" si="2"/>
        <v>44.21354353</v>
      </c>
      <c r="N748" s="18" t="str">
        <f t="shared" si="3"/>
        <v>Put Spread</v>
      </c>
      <c r="O748" s="18" t="str">
        <f t="shared" si="4"/>
        <v>Success</v>
      </c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</row>
    <row r="749">
      <c r="A749" s="13" t="s">
        <v>772</v>
      </c>
      <c r="B749" s="26" t="s">
        <v>47</v>
      </c>
      <c r="C749" s="15">
        <v>2199.41</v>
      </c>
      <c r="D749" s="13" t="s">
        <v>48</v>
      </c>
      <c r="E749" s="15">
        <v>2322.72</v>
      </c>
      <c r="F749" s="15">
        <v>1.0</v>
      </c>
      <c r="G749" s="15">
        <v>2.0</v>
      </c>
      <c r="H749" s="15">
        <v>3.0</v>
      </c>
      <c r="I749" s="16">
        <v>0.0</v>
      </c>
      <c r="J749" s="17">
        <f>IFERROR(__xludf.DUMMYFUNCTION("INDEX(GOOGLEFINANCE(A749, ""open"", $J$1, $J$1), 2, 2)"),2267.57)</f>
        <v>2267.57</v>
      </c>
      <c r="K749" s="17">
        <f>IFERROR(__xludf.DUMMYFUNCTION("INDEX(GOOGLEFINANCE(A749, ""close"", $K$1, $K$1), 2, 2)"),2166.78)</f>
        <v>2166.78</v>
      </c>
      <c r="L749" s="8">
        <f t="shared" si="1"/>
        <v>4.444846245</v>
      </c>
      <c r="M749" s="18">
        <f t="shared" si="2"/>
        <v>44.44846245</v>
      </c>
      <c r="N749" s="18" t="str">
        <f t="shared" si="3"/>
        <v>Call Spread</v>
      </c>
      <c r="O749" s="18" t="str">
        <f t="shared" si="4"/>
        <v>Success</v>
      </c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</row>
    <row r="750">
      <c r="A750" s="13" t="s">
        <v>773</v>
      </c>
      <c r="B750" s="26" t="s">
        <v>47</v>
      </c>
      <c r="C750" s="15">
        <v>62.8</v>
      </c>
      <c r="D750" s="13" t="s">
        <v>48</v>
      </c>
      <c r="E750" s="15">
        <v>67.68</v>
      </c>
      <c r="F750" s="15">
        <v>2.0</v>
      </c>
      <c r="G750" s="15">
        <v>1.0</v>
      </c>
      <c r="H750" s="15">
        <v>5.0</v>
      </c>
      <c r="I750" s="16">
        <v>0.0</v>
      </c>
      <c r="J750" s="17">
        <f>IFERROR(__xludf.DUMMYFUNCTION("INDEX(GOOGLEFINANCE(A750, ""open"", $J$1, $J$1), 2, 2)"),65.33)</f>
        <v>65.33</v>
      </c>
      <c r="K750" s="17">
        <f>IFERROR(__xludf.DUMMYFUNCTION("INDEX(GOOGLEFINANCE(A750, ""close"", $K$1, $K$1), 2, 2)"),62.41)</f>
        <v>62.41</v>
      </c>
      <c r="L750" s="8">
        <f t="shared" si="1"/>
        <v>4.469615797</v>
      </c>
      <c r="M750" s="18">
        <f t="shared" si="2"/>
        <v>44.69615797</v>
      </c>
      <c r="N750" s="18" t="str">
        <f t="shared" si="3"/>
        <v>Call Spread</v>
      </c>
      <c r="O750" s="18" t="str">
        <f t="shared" si="4"/>
        <v>Success</v>
      </c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</row>
    <row r="751">
      <c r="A751" s="13" t="s">
        <v>774</v>
      </c>
      <c r="B751" s="14" t="s">
        <v>18</v>
      </c>
      <c r="C751" s="15">
        <v>54.09</v>
      </c>
      <c r="D751" s="13" t="s">
        <v>19</v>
      </c>
      <c r="E751" s="15">
        <v>50.41</v>
      </c>
      <c r="F751" s="15">
        <v>3.0</v>
      </c>
      <c r="G751" s="15">
        <v>3.0</v>
      </c>
      <c r="H751" s="15">
        <v>5.0</v>
      </c>
      <c r="I751" s="16">
        <v>0.0</v>
      </c>
      <c r="J751" s="17">
        <f>IFERROR(__xludf.DUMMYFUNCTION("INDEX(GOOGLEFINANCE(A751, ""open"", $J$1, $J$1), 2, 2)"),51.98)</f>
        <v>51.98</v>
      </c>
      <c r="K751" s="17">
        <f>IFERROR(__xludf.DUMMYFUNCTION("INDEX(GOOGLEFINANCE(A751, ""close"", $K$1, $K$1), 2, 2)"),54.35)</f>
        <v>54.35</v>
      </c>
      <c r="L751" s="8">
        <f t="shared" si="1"/>
        <v>4.559445941</v>
      </c>
      <c r="M751" s="18">
        <f t="shared" si="2"/>
        <v>45.59445941</v>
      </c>
      <c r="N751" s="18" t="str">
        <f t="shared" si="3"/>
        <v>Put Spread</v>
      </c>
      <c r="O751" s="18" t="str">
        <f t="shared" si="4"/>
        <v>Success</v>
      </c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</row>
    <row r="752">
      <c r="A752" s="13" t="s">
        <v>775</v>
      </c>
      <c r="B752" s="14" t="s">
        <v>18</v>
      </c>
      <c r="C752" s="15">
        <v>153.62</v>
      </c>
      <c r="D752" s="13" t="s">
        <v>19</v>
      </c>
      <c r="E752" s="15">
        <v>141.52</v>
      </c>
      <c r="F752" s="15">
        <v>3.0</v>
      </c>
      <c r="G752" s="15">
        <v>2.0</v>
      </c>
      <c r="H752" s="15">
        <v>5.0</v>
      </c>
      <c r="I752" s="16">
        <v>0.0</v>
      </c>
      <c r="J752" s="17">
        <f>IFERROR(__xludf.DUMMYFUNCTION("INDEX(GOOGLEFINANCE(A752, ""open"", $J$1, $J$1), 2, 2)"),147.19)</f>
        <v>147.19</v>
      </c>
      <c r="K752" s="17">
        <f>IFERROR(__xludf.DUMMYFUNCTION("INDEX(GOOGLEFINANCE(A752, ""close"", $K$1, $K$1), 2, 2)"),153.84)</f>
        <v>153.84</v>
      </c>
      <c r="L752" s="8">
        <f t="shared" si="1"/>
        <v>4.517969971</v>
      </c>
      <c r="M752" s="18">
        <f t="shared" si="2"/>
        <v>45.17969971</v>
      </c>
      <c r="N752" s="18" t="str">
        <f t="shared" si="3"/>
        <v>Put Spread</v>
      </c>
      <c r="O752" s="18" t="str">
        <f t="shared" si="4"/>
        <v>Success</v>
      </c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</row>
    <row r="753">
      <c r="A753" s="13" t="s">
        <v>776</v>
      </c>
      <c r="B753" s="26" t="s">
        <v>47</v>
      </c>
      <c r="C753" s="15">
        <v>217.85</v>
      </c>
      <c r="D753" s="13" t="s">
        <v>48</v>
      </c>
      <c r="E753" s="15">
        <v>230.91</v>
      </c>
      <c r="F753" s="15">
        <v>3.0</v>
      </c>
      <c r="G753" s="15">
        <v>2.0</v>
      </c>
      <c r="H753" s="15">
        <v>3.0</v>
      </c>
      <c r="I753" s="16">
        <v>0.0</v>
      </c>
      <c r="J753" s="17">
        <f>IFERROR(__xludf.DUMMYFUNCTION("INDEX(GOOGLEFINANCE(A753, ""open"", $J$1, $J$1), 2, 2)"),225.32)</f>
        <v>225.32</v>
      </c>
      <c r="K753" s="17">
        <f>IFERROR(__xludf.DUMMYFUNCTION("INDEX(GOOGLEFINANCE(A753, ""close"", $K$1, $K$1), 2, 2)"),214.92)</f>
        <v>214.92</v>
      </c>
      <c r="L753" s="8">
        <f t="shared" si="1"/>
        <v>4.615657731</v>
      </c>
      <c r="M753" s="18">
        <f t="shared" si="2"/>
        <v>46.15657731</v>
      </c>
      <c r="N753" s="18" t="str">
        <f t="shared" si="3"/>
        <v>Call Spread</v>
      </c>
      <c r="O753" s="18" t="str">
        <f t="shared" si="4"/>
        <v>Success</v>
      </c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</row>
    <row r="754">
      <c r="A754" s="13" t="s">
        <v>777</v>
      </c>
      <c r="B754" s="26" t="s">
        <v>47</v>
      </c>
      <c r="C754" s="15">
        <v>51.15</v>
      </c>
      <c r="D754" s="13" t="s">
        <v>48</v>
      </c>
      <c r="E754" s="15">
        <v>56.73</v>
      </c>
      <c r="F754" s="15">
        <v>0.0</v>
      </c>
      <c r="G754" s="15">
        <v>1.0</v>
      </c>
      <c r="H754" s="15">
        <v>3.0</v>
      </c>
      <c r="I754" s="16">
        <v>0.0</v>
      </c>
      <c r="J754" s="17">
        <f>IFERROR(__xludf.DUMMYFUNCTION("INDEX(GOOGLEFINANCE(A754, ""open"", $J$1, $J$1), 2, 2)"),54.52)</f>
        <v>54.52</v>
      </c>
      <c r="K754" s="17">
        <f>IFERROR(__xludf.DUMMYFUNCTION("INDEX(GOOGLEFINANCE(A754, ""close"", $K$1, $K$1), 2, 2)"),51.97)</f>
        <v>51.97</v>
      </c>
      <c r="L754" s="20">
        <f t="shared" si="1"/>
        <v>4.677182685</v>
      </c>
      <c r="M754" s="18">
        <f t="shared" si="2"/>
        <v>46.77182685</v>
      </c>
      <c r="N754" s="18" t="str">
        <f t="shared" si="3"/>
        <v>Call Spread</v>
      </c>
      <c r="O754" s="18" t="str">
        <f t="shared" si="4"/>
        <v>Success</v>
      </c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</row>
    <row r="755">
      <c r="A755" s="13" t="s">
        <v>778</v>
      </c>
      <c r="B755" s="14" t="s">
        <v>18</v>
      </c>
      <c r="C755" s="15">
        <v>77.37</v>
      </c>
      <c r="D755" s="13" t="s">
        <v>19</v>
      </c>
      <c r="E755" s="15">
        <v>68.23</v>
      </c>
      <c r="F755" s="15">
        <v>3.0</v>
      </c>
      <c r="G755" s="15">
        <v>2.0</v>
      </c>
      <c r="H755" s="15">
        <v>4.0</v>
      </c>
      <c r="I755" s="16">
        <v>0.0</v>
      </c>
      <c r="J755" s="17">
        <f>IFERROR(__xludf.DUMMYFUNCTION("INDEX(GOOGLEFINANCE(A755, ""open"", $J$1, $J$1), 2, 2)"),73.0)</f>
        <v>73</v>
      </c>
      <c r="K755" s="17">
        <f>IFERROR(__xludf.DUMMYFUNCTION("INDEX(GOOGLEFINANCE(A755, ""close"", $K$1, $K$1), 2, 2)"),76.42)</f>
        <v>76.42</v>
      </c>
      <c r="L755" s="8">
        <f t="shared" si="1"/>
        <v>4.684931507</v>
      </c>
      <c r="M755" s="18">
        <f t="shared" si="2"/>
        <v>46.84931507</v>
      </c>
      <c r="N755" s="18" t="str">
        <f t="shared" si="3"/>
        <v>Put Spread</v>
      </c>
      <c r="O755" s="18" t="str">
        <f t="shared" si="4"/>
        <v>Success</v>
      </c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</row>
    <row r="756">
      <c r="A756" s="13" t="s">
        <v>779</v>
      </c>
      <c r="B756" s="14" t="s">
        <v>18</v>
      </c>
      <c r="C756" s="15">
        <v>37.74</v>
      </c>
      <c r="D756" s="13" t="s">
        <v>19</v>
      </c>
      <c r="E756" s="15">
        <v>34.3</v>
      </c>
      <c r="F756" s="15">
        <v>5.0</v>
      </c>
      <c r="G756" s="15">
        <v>3.0</v>
      </c>
      <c r="H756" s="15">
        <v>4.0</v>
      </c>
      <c r="I756" s="16">
        <v>0.0</v>
      </c>
      <c r="J756" s="17">
        <f>IFERROR(__xludf.DUMMYFUNCTION("INDEX(GOOGLEFINANCE(A756, ""open"", $J$1, $J$1), 2, 2)"),35.8)</f>
        <v>35.8</v>
      </c>
      <c r="K756" s="17">
        <f>IFERROR(__xludf.DUMMYFUNCTION("INDEX(GOOGLEFINANCE(A756, ""close"", $K$1, $K$1), 2, 2)"),37.52)</f>
        <v>37.52</v>
      </c>
      <c r="L756" s="20">
        <f t="shared" si="1"/>
        <v>4.804469274</v>
      </c>
      <c r="M756" s="18">
        <f t="shared" si="2"/>
        <v>48.04469274</v>
      </c>
      <c r="N756" s="18" t="str">
        <f t="shared" si="3"/>
        <v>Put Spread</v>
      </c>
      <c r="O756" s="18" t="str">
        <f t="shared" si="4"/>
        <v>Success</v>
      </c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</row>
    <row r="757">
      <c r="A757" s="13" t="s">
        <v>780</v>
      </c>
      <c r="B757" s="14" t="s">
        <v>18</v>
      </c>
      <c r="C757" s="15">
        <v>746.14</v>
      </c>
      <c r="D757" s="13" t="s">
        <v>19</v>
      </c>
      <c r="E757" s="15">
        <v>679.22</v>
      </c>
      <c r="F757" s="15">
        <v>2.0</v>
      </c>
      <c r="G757" s="15">
        <v>2.0</v>
      </c>
      <c r="H757" s="15">
        <v>4.0</v>
      </c>
      <c r="I757" s="16">
        <v>0.0</v>
      </c>
      <c r="J757" s="17">
        <f>IFERROR(__xludf.DUMMYFUNCTION("INDEX(GOOGLEFINANCE(A757, ""open"", $J$1, $J$1), 2, 2)"),715.2)</f>
        <v>715.2</v>
      </c>
      <c r="K757" s="17">
        <f>IFERROR(__xludf.DUMMYFUNCTION("INDEX(GOOGLEFINANCE(A757, ""close"", $K$1, $K$1), 2, 2)"),750.01)</f>
        <v>750.01</v>
      </c>
      <c r="L757" s="8">
        <f t="shared" si="1"/>
        <v>4.867170022</v>
      </c>
      <c r="M757" s="18">
        <f t="shared" si="2"/>
        <v>48.67170022</v>
      </c>
      <c r="N757" s="18" t="str">
        <f t="shared" si="3"/>
        <v>Put Spread</v>
      </c>
      <c r="O757" s="18" t="str">
        <f t="shared" si="4"/>
        <v>Success</v>
      </c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</row>
    <row r="758">
      <c r="A758" s="13" t="s">
        <v>781</v>
      </c>
      <c r="B758" s="26" t="s">
        <v>47</v>
      </c>
      <c r="C758" s="15">
        <v>274.48</v>
      </c>
      <c r="D758" s="13" t="s">
        <v>48</v>
      </c>
      <c r="E758" s="15">
        <v>303.72</v>
      </c>
      <c r="F758" s="15">
        <v>0.0</v>
      </c>
      <c r="G758" s="15">
        <v>3.0</v>
      </c>
      <c r="H758" s="15">
        <v>0.0</v>
      </c>
      <c r="I758" s="16">
        <v>-3.5776359</v>
      </c>
      <c r="J758" s="17">
        <f>IFERROR(__xludf.DUMMYFUNCTION("INDEX(GOOGLEFINANCE(A758, ""open"", $J$1, $J$1), 2, 2)"),288.78)</f>
        <v>288.78</v>
      </c>
      <c r="K758" s="17">
        <f>IFERROR(__xludf.DUMMYFUNCTION("INDEX(GOOGLEFINANCE(A758, ""close"", $K$1, $K$1), 2, 2)"),274.51)</f>
        <v>274.51</v>
      </c>
      <c r="L758" s="20">
        <f t="shared" si="1"/>
        <v>4.941477942</v>
      </c>
      <c r="M758" s="18">
        <f t="shared" si="2"/>
        <v>49.41477942</v>
      </c>
      <c r="N758" s="18" t="str">
        <f t="shared" si="3"/>
        <v>Call Spread</v>
      </c>
      <c r="O758" s="18" t="str">
        <f t="shared" si="4"/>
        <v>Success</v>
      </c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</row>
    <row r="759">
      <c r="A759" s="13" t="s">
        <v>782</v>
      </c>
      <c r="B759" s="26" t="s">
        <v>47</v>
      </c>
      <c r="C759" s="15">
        <v>170.45</v>
      </c>
      <c r="D759" s="13" t="s">
        <v>48</v>
      </c>
      <c r="E759" s="15">
        <v>182.25</v>
      </c>
      <c r="F759" s="15">
        <v>0.0</v>
      </c>
      <c r="G759" s="15">
        <v>3.0</v>
      </c>
      <c r="H759" s="15">
        <v>3.0</v>
      </c>
      <c r="I759" s="16">
        <v>0.0</v>
      </c>
      <c r="J759" s="17">
        <f>IFERROR(__xludf.DUMMYFUNCTION("INDEX(GOOGLEFINANCE(A759, ""open"", $J$1, $J$1), 2, 2)"),175.88)</f>
        <v>175.88</v>
      </c>
      <c r="K759" s="17">
        <f>IFERROR(__xludf.DUMMYFUNCTION("INDEX(GOOGLEFINANCE(A759, ""close"", $K$1, $K$1), 2, 2)"),167.28)</f>
        <v>167.28</v>
      </c>
      <c r="L759" s="8">
        <f t="shared" si="1"/>
        <v>4.889697521</v>
      </c>
      <c r="M759" s="18">
        <f t="shared" si="2"/>
        <v>48.89697521</v>
      </c>
      <c r="N759" s="18" t="str">
        <f t="shared" si="3"/>
        <v>Call Spread</v>
      </c>
      <c r="O759" s="18" t="str">
        <f t="shared" si="4"/>
        <v>Success</v>
      </c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</row>
    <row r="760">
      <c r="A760" s="13" t="s">
        <v>783</v>
      </c>
      <c r="B760" s="26" t="s">
        <v>47</v>
      </c>
      <c r="C760" s="15">
        <v>541.12</v>
      </c>
      <c r="D760" s="13" t="s">
        <v>48</v>
      </c>
      <c r="E760" s="15">
        <v>589.26</v>
      </c>
      <c r="F760" s="15">
        <v>3.0</v>
      </c>
      <c r="G760" s="15">
        <v>3.0</v>
      </c>
      <c r="H760" s="15">
        <v>5.0</v>
      </c>
      <c r="I760" s="16">
        <v>0.0</v>
      </c>
      <c r="J760" s="17">
        <f>IFERROR(__xludf.DUMMYFUNCTION("INDEX(GOOGLEFINANCE(A760, ""open"", $J$1, $J$1), 2, 2)"),563.13)</f>
        <v>563.13</v>
      </c>
      <c r="K760" s="17">
        <f>IFERROR(__xludf.DUMMYFUNCTION("INDEX(GOOGLEFINANCE(A760, ""close"", $K$1, $K$1), 2, 2)"),535.54)</f>
        <v>535.54</v>
      </c>
      <c r="L760" s="8">
        <f t="shared" si="1"/>
        <v>4.899401559</v>
      </c>
      <c r="M760" s="18">
        <f t="shared" si="2"/>
        <v>48.99401559</v>
      </c>
      <c r="N760" s="18" t="str">
        <f t="shared" si="3"/>
        <v>Call Spread</v>
      </c>
      <c r="O760" s="18" t="str">
        <f t="shared" si="4"/>
        <v>Success</v>
      </c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</row>
    <row r="761">
      <c r="A761" s="13" t="s">
        <v>784</v>
      </c>
      <c r="B761" s="14" t="s">
        <v>18</v>
      </c>
      <c r="C761" s="15">
        <v>18.96</v>
      </c>
      <c r="D761" s="13" t="s">
        <v>19</v>
      </c>
      <c r="E761" s="15">
        <v>17.2</v>
      </c>
      <c r="F761" s="15">
        <v>4.0</v>
      </c>
      <c r="G761" s="15">
        <v>2.0</v>
      </c>
      <c r="H761" s="15">
        <v>1.0</v>
      </c>
      <c r="I761" s="16">
        <v>0.0</v>
      </c>
      <c r="J761" s="17">
        <f>IFERROR(__xludf.DUMMYFUNCTION("INDEX(GOOGLEFINANCE(A761, ""open"", $J$1, $J$1), 2, 2)"),17.81)</f>
        <v>17.81</v>
      </c>
      <c r="K761" s="17">
        <f>IFERROR(__xludf.DUMMYFUNCTION("INDEX(GOOGLEFINANCE(A761, ""close"", $K$1, $K$1), 2, 2)"),18.7)</f>
        <v>18.7</v>
      </c>
      <c r="L761" s="8">
        <f t="shared" si="1"/>
        <v>4.997192588</v>
      </c>
      <c r="M761" s="18">
        <f t="shared" si="2"/>
        <v>49.97192588</v>
      </c>
      <c r="N761" s="18" t="str">
        <f t="shared" si="3"/>
        <v>Put Spread</v>
      </c>
      <c r="O761" s="18" t="str">
        <f t="shared" si="4"/>
        <v>Success</v>
      </c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</row>
    <row r="762">
      <c r="A762" s="13" t="s">
        <v>785</v>
      </c>
      <c r="B762" s="14" t="s">
        <v>18</v>
      </c>
      <c r="C762" s="15">
        <v>25.24</v>
      </c>
      <c r="D762" s="13" t="s">
        <v>19</v>
      </c>
      <c r="E762" s="15">
        <v>23.16</v>
      </c>
      <c r="F762" s="15">
        <v>2.0</v>
      </c>
      <c r="G762" s="15">
        <v>1.0</v>
      </c>
      <c r="H762" s="15">
        <v>1.0</v>
      </c>
      <c r="I762" s="16">
        <v>0.928552967747675</v>
      </c>
      <c r="J762" s="17">
        <f>IFERROR(__xludf.DUMMYFUNCTION("INDEX(GOOGLEFINANCE(A762, ""open"", $J$1, $J$1), 2, 2)"),24.1)</f>
        <v>24.1</v>
      </c>
      <c r="K762" s="17">
        <f>IFERROR(__xludf.DUMMYFUNCTION("INDEX(GOOGLEFINANCE(A762, ""close"", $K$1, $K$1), 2, 2)"),25.32)</f>
        <v>25.32</v>
      </c>
      <c r="L762" s="8">
        <f t="shared" si="1"/>
        <v>5.062240664</v>
      </c>
      <c r="M762" s="18">
        <f t="shared" si="2"/>
        <v>50.62240664</v>
      </c>
      <c r="N762" s="18" t="str">
        <f t="shared" si="3"/>
        <v>Put Spread</v>
      </c>
      <c r="O762" s="18" t="str">
        <f t="shared" si="4"/>
        <v>Success</v>
      </c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</row>
    <row r="763">
      <c r="A763" s="13" t="s">
        <v>786</v>
      </c>
      <c r="B763" s="26" t="s">
        <v>47</v>
      </c>
      <c r="C763" s="15">
        <v>87.8</v>
      </c>
      <c r="D763" s="13" t="s">
        <v>48</v>
      </c>
      <c r="E763" s="15">
        <v>91.78</v>
      </c>
      <c r="F763" s="15">
        <v>0.0</v>
      </c>
      <c r="G763" s="15">
        <v>1.0</v>
      </c>
      <c r="H763" s="15">
        <v>0.0</v>
      </c>
      <c r="I763" s="16">
        <v>1.4259199061345</v>
      </c>
      <c r="J763" s="17">
        <f>IFERROR(__xludf.DUMMYFUNCTION("INDEX(GOOGLEFINANCE(A763, ""open"", $J$1, $J$1), 2, 2)"),89.46)</f>
        <v>89.46</v>
      </c>
      <c r="K763" s="17">
        <f>IFERROR(__xludf.DUMMYFUNCTION("INDEX(GOOGLEFINANCE(A763, ""close"", $K$1, $K$1), 2, 2)"),84.93)</f>
        <v>84.93</v>
      </c>
      <c r="L763" s="8">
        <f t="shared" si="1"/>
        <v>5.063715627</v>
      </c>
      <c r="M763" s="18">
        <f t="shared" si="2"/>
        <v>50.63715627</v>
      </c>
      <c r="N763" s="18" t="str">
        <f t="shared" si="3"/>
        <v>Call Spread</v>
      </c>
      <c r="O763" s="18" t="str">
        <f t="shared" si="4"/>
        <v>Success</v>
      </c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</row>
    <row r="764">
      <c r="A764" s="13" t="s">
        <v>787</v>
      </c>
      <c r="B764" s="26" t="s">
        <v>47</v>
      </c>
      <c r="C764" s="15">
        <v>94.92</v>
      </c>
      <c r="D764" s="13" t="s">
        <v>48</v>
      </c>
      <c r="E764" s="15">
        <v>103.76</v>
      </c>
      <c r="F764" s="15">
        <v>1.0</v>
      </c>
      <c r="G764" s="15">
        <v>3.0</v>
      </c>
      <c r="H764" s="15">
        <v>1.0</v>
      </c>
      <c r="I764" s="16">
        <v>0.0</v>
      </c>
      <c r="J764" s="17">
        <f>IFERROR(__xludf.DUMMYFUNCTION("INDEX(GOOGLEFINANCE(A764, ""open"", $J$1, $J$1), 2, 2)"),99.19)</f>
        <v>99.19</v>
      </c>
      <c r="K764" s="17">
        <f>IFERROR(__xludf.DUMMYFUNCTION("INDEX(GOOGLEFINANCE(A764, ""close"", $K$1, $K$1), 2, 2)"),94.13)</f>
        <v>94.13</v>
      </c>
      <c r="L764" s="8">
        <f t="shared" si="1"/>
        <v>5.101320698</v>
      </c>
      <c r="M764" s="18">
        <f t="shared" si="2"/>
        <v>51.01320698</v>
      </c>
      <c r="N764" s="18" t="str">
        <f t="shared" si="3"/>
        <v>Call Spread</v>
      </c>
      <c r="O764" s="18" t="str">
        <f t="shared" si="4"/>
        <v>Success</v>
      </c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</row>
    <row r="765">
      <c r="A765" s="13" t="s">
        <v>788</v>
      </c>
      <c r="B765" s="14" t="s">
        <v>18</v>
      </c>
      <c r="C765" s="15">
        <v>38.1</v>
      </c>
      <c r="D765" s="13" t="s">
        <v>19</v>
      </c>
      <c r="E765" s="15">
        <v>30.58</v>
      </c>
      <c r="F765" s="15">
        <v>4.0</v>
      </c>
      <c r="G765" s="15">
        <v>3.0</v>
      </c>
      <c r="H765" s="15">
        <v>5.0</v>
      </c>
      <c r="I765" s="16">
        <v>-0.9469956</v>
      </c>
      <c r="J765" s="17">
        <f>IFERROR(__xludf.DUMMYFUNCTION("INDEX(GOOGLEFINANCE(A765, ""open"", $J$1, $J$1), 2, 2)"),34.9)</f>
        <v>34.9</v>
      </c>
      <c r="K765" s="17">
        <f>IFERROR(__xludf.DUMMYFUNCTION("INDEX(GOOGLEFINANCE(A765, ""close"", $K$1, $K$1), 2, 2)"),36.72)</f>
        <v>36.72</v>
      </c>
      <c r="L765" s="20">
        <f t="shared" si="1"/>
        <v>5.214899713</v>
      </c>
      <c r="M765" s="18">
        <f t="shared" si="2"/>
        <v>52.14899713</v>
      </c>
      <c r="N765" s="18" t="str">
        <f t="shared" si="3"/>
        <v>Put Spread</v>
      </c>
      <c r="O765" s="18" t="str">
        <f t="shared" si="4"/>
        <v>Success</v>
      </c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</row>
    <row r="766">
      <c r="A766" s="13" t="s">
        <v>789</v>
      </c>
      <c r="B766" s="14" t="s">
        <v>18</v>
      </c>
      <c r="C766" s="15">
        <v>16.42</v>
      </c>
      <c r="D766" s="13" t="s">
        <v>19</v>
      </c>
      <c r="E766" s="15">
        <v>15.18</v>
      </c>
      <c r="F766" s="15">
        <v>4.0</v>
      </c>
      <c r="G766" s="15">
        <v>2.0</v>
      </c>
      <c r="H766" s="15">
        <v>1.0</v>
      </c>
      <c r="I766" s="16">
        <v>0.766796729028442</v>
      </c>
      <c r="J766" s="17">
        <f>IFERROR(__xludf.DUMMYFUNCTION("INDEX(GOOGLEFINANCE(A766, ""open"", $J$1, $J$1), 2, 2)"),15.78)</f>
        <v>15.78</v>
      </c>
      <c r="K766" s="17">
        <f>IFERROR(__xludf.DUMMYFUNCTION("INDEX(GOOGLEFINANCE(A766, ""close"", $K$1, $K$1), 2, 2)"),16.61)</f>
        <v>16.61</v>
      </c>
      <c r="L766" s="8">
        <f t="shared" si="1"/>
        <v>5.25982256</v>
      </c>
      <c r="M766" s="18">
        <f t="shared" si="2"/>
        <v>52.5982256</v>
      </c>
      <c r="N766" s="18" t="str">
        <f t="shared" si="3"/>
        <v>Put Spread</v>
      </c>
      <c r="O766" s="18" t="str">
        <f t="shared" si="4"/>
        <v>Success</v>
      </c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</row>
    <row r="767">
      <c r="A767" s="13" t="s">
        <v>790</v>
      </c>
      <c r="B767" s="26" t="s">
        <v>47</v>
      </c>
      <c r="C767" s="15">
        <v>43.33</v>
      </c>
      <c r="D767" s="13" t="s">
        <v>48</v>
      </c>
      <c r="E767" s="15">
        <v>47.53</v>
      </c>
      <c r="F767" s="15">
        <v>0.0</v>
      </c>
      <c r="G767" s="15">
        <v>2.0</v>
      </c>
      <c r="H767" s="15">
        <v>4.0</v>
      </c>
      <c r="I767" s="16">
        <v>0.0</v>
      </c>
      <c r="J767" s="17">
        <f>IFERROR(__xludf.DUMMYFUNCTION("INDEX(GOOGLEFINANCE(A767, ""open"", $J$1, $J$1), 2, 2)"),45.9)</f>
        <v>45.9</v>
      </c>
      <c r="K767" s="17">
        <f>IFERROR(__xludf.DUMMYFUNCTION("INDEX(GOOGLEFINANCE(A767, ""close"", $K$1, $K$1), 2, 2)"),43.46)</f>
        <v>43.46</v>
      </c>
      <c r="L767" s="8">
        <f t="shared" si="1"/>
        <v>5.315904139</v>
      </c>
      <c r="M767" s="18">
        <f t="shared" si="2"/>
        <v>53.15904139</v>
      </c>
      <c r="N767" s="18" t="str">
        <f t="shared" si="3"/>
        <v>Call Spread</v>
      </c>
      <c r="O767" s="18" t="str">
        <f t="shared" si="4"/>
        <v>Success</v>
      </c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</row>
    <row r="768">
      <c r="A768" s="13" t="s">
        <v>791</v>
      </c>
      <c r="B768" s="26" t="s">
        <v>47</v>
      </c>
      <c r="C768" s="15">
        <v>45.31</v>
      </c>
      <c r="D768" s="13" t="s">
        <v>48</v>
      </c>
      <c r="E768" s="15">
        <v>60.67</v>
      </c>
      <c r="F768" s="15">
        <v>1.0</v>
      </c>
      <c r="G768" s="15">
        <v>4.0</v>
      </c>
      <c r="H768" s="15">
        <v>4.0</v>
      </c>
      <c r="I768" s="16">
        <v>0.0</v>
      </c>
      <c r="J768" s="17">
        <f>IFERROR(__xludf.DUMMYFUNCTION("INDEX(GOOGLEFINANCE(A768, ""open"", $J$1, $J$1), 2, 2)"),53.79)</f>
        <v>53.79</v>
      </c>
      <c r="K768" s="17">
        <f>IFERROR(__xludf.DUMMYFUNCTION("INDEX(GOOGLEFINANCE(A768, ""close"", $K$1, $K$1), 2, 2)"),50.85)</f>
        <v>50.85</v>
      </c>
      <c r="L768" s="8">
        <f t="shared" si="1"/>
        <v>5.465699944</v>
      </c>
      <c r="M768" s="18">
        <f t="shared" si="2"/>
        <v>54.65699944</v>
      </c>
      <c r="N768" s="18" t="str">
        <f t="shared" si="3"/>
        <v>Call Spread</v>
      </c>
      <c r="O768" s="18" t="str">
        <f t="shared" si="4"/>
        <v>Success</v>
      </c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</row>
    <row r="769">
      <c r="A769" s="13" t="s">
        <v>792</v>
      </c>
      <c r="B769" s="14" t="s">
        <v>18</v>
      </c>
      <c r="C769" s="15">
        <v>10.67</v>
      </c>
      <c r="D769" s="13" t="s">
        <v>19</v>
      </c>
      <c r="E769" s="15">
        <v>8.69</v>
      </c>
      <c r="F769" s="15">
        <v>3.0</v>
      </c>
      <c r="G769" s="15">
        <v>2.0</v>
      </c>
      <c r="H769" s="15">
        <v>1.0</v>
      </c>
      <c r="I769" s="16">
        <v>-1.6386281</v>
      </c>
      <c r="J769" s="17">
        <f>IFERROR(__xludf.DUMMYFUNCTION("INDEX(GOOGLEFINANCE(A769, ""open"", $J$1, $J$1), 2, 2)"),9.96)</f>
        <v>9.96</v>
      </c>
      <c r="K769" s="17">
        <f>IFERROR(__xludf.DUMMYFUNCTION("INDEX(GOOGLEFINANCE(A769, ""close"", $K$1, $K$1), 2, 2)"),10.51)</f>
        <v>10.51</v>
      </c>
      <c r="L769" s="8">
        <f t="shared" si="1"/>
        <v>5.522088353</v>
      </c>
      <c r="M769" s="18">
        <f t="shared" si="2"/>
        <v>55.22088353</v>
      </c>
      <c r="N769" s="18" t="str">
        <f t="shared" si="3"/>
        <v>Put Spread</v>
      </c>
      <c r="O769" s="18" t="str">
        <f t="shared" si="4"/>
        <v>Success</v>
      </c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</row>
    <row r="770">
      <c r="A770" s="13" t="s">
        <v>793</v>
      </c>
      <c r="B770" s="14" t="s">
        <v>18</v>
      </c>
      <c r="C770" s="15">
        <v>36.48</v>
      </c>
      <c r="D770" s="13" t="s">
        <v>19</v>
      </c>
      <c r="E770" s="15">
        <v>33.18</v>
      </c>
      <c r="F770" s="15">
        <v>4.0</v>
      </c>
      <c r="G770" s="15">
        <v>2.0</v>
      </c>
      <c r="H770" s="15">
        <v>4.0</v>
      </c>
      <c r="I770" s="16">
        <v>0.61289213273216</v>
      </c>
      <c r="J770" s="17">
        <f>IFERROR(__xludf.DUMMYFUNCTION("INDEX(GOOGLEFINANCE(A770, ""open"", $J$1, $J$1), 2, 2)"),34.93)</f>
        <v>34.93</v>
      </c>
      <c r="K770" s="17">
        <f>IFERROR(__xludf.DUMMYFUNCTION("INDEX(GOOGLEFINANCE(A770, ""close"", $K$1, $K$1), 2, 2)"),36.87)</f>
        <v>36.87</v>
      </c>
      <c r="L770" s="8">
        <f t="shared" si="1"/>
        <v>5.553965073</v>
      </c>
      <c r="M770" s="18">
        <f t="shared" si="2"/>
        <v>55.53965073</v>
      </c>
      <c r="N770" s="18" t="str">
        <f t="shared" si="3"/>
        <v>Put Spread</v>
      </c>
      <c r="O770" s="18" t="str">
        <f t="shared" si="4"/>
        <v>Success</v>
      </c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</row>
    <row r="771">
      <c r="A771" s="13" t="s">
        <v>794</v>
      </c>
      <c r="B771" s="26" t="s">
        <v>47</v>
      </c>
      <c r="C771" s="15">
        <v>4.06</v>
      </c>
      <c r="D771" s="13" t="s">
        <v>48</v>
      </c>
      <c r="E771" s="15">
        <v>4.58</v>
      </c>
      <c r="F771" s="15">
        <v>3.0</v>
      </c>
      <c r="G771" s="15">
        <v>3.0</v>
      </c>
      <c r="H771" s="15">
        <v>3.0</v>
      </c>
      <c r="I771" s="16">
        <v>0.0</v>
      </c>
      <c r="J771" s="17">
        <f>IFERROR(__xludf.DUMMYFUNCTION("INDEX(GOOGLEFINANCE(A771, ""open"", $J$1, $J$1), 2, 2)"),4.3)</f>
        <v>4.3</v>
      </c>
      <c r="K771" s="17">
        <f>IFERROR(__xludf.DUMMYFUNCTION("INDEX(GOOGLEFINANCE(A771, ""close"", $K$1, $K$1), 2, 2)"),4.06)</f>
        <v>4.06</v>
      </c>
      <c r="L771" s="8">
        <f t="shared" si="1"/>
        <v>5.581395349</v>
      </c>
      <c r="M771" s="18">
        <f t="shared" si="2"/>
        <v>55.81395349</v>
      </c>
      <c r="N771" s="18" t="str">
        <f t="shared" si="3"/>
        <v>Call Spread</v>
      </c>
      <c r="O771" s="18" t="str">
        <f t="shared" si="4"/>
        <v>Success</v>
      </c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</row>
    <row r="772">
      <c r="A772" s="13" t="s">
        <v>795</v>
      </c>
      <c r="B772" s="26" t="s">
        <v>47</v>
      </c>
      <c r="C772" s="15">
        <v>154.02</v>
      </c>
      <c r="D772" s="13" t="s">
        <v>48</v>
      </c>
      <c r="E772" s="15">
        <v>176.02</v>
      </c>
      <c r="F772" s="15">
        <v>1.0</v>
      </c>
      <c r="G772" s="15">
        <v>2.0</v>
      </c>
      <c r="H772" s="15">
        <v>0.0</v>
      </c>
      <c r="I772" s="16">
        <v>0.0</v>
      </c>
      <c r="J772" s="17">
        <f>IFERROR(__xludf.DUMMYFUNCTION("INDEX(GOOGLEFINANCE(A772, ""open"", $J$1, $J$1), 2, 2)"),164.52)</f>
        <v>164.52</v>
      </c>
      <c r="K772" s="17">
        <f>IFERROR(__xludf.DUMMYFUNCTION("INDEX(GOOGLEFINANCE(A772, ""close"", $K$1, $K$1), 2, 2)"),155.13)</f>
        <v>155.13</v>
      </c>
      <c r="L772" s="8">
        <f t="shared" si="1"/>
        <v>5.707512764</v>
      </c>
      <c r="M772" s="18">
        <f t="shared" si="2"/>
        <v>57.07512764</v>
      </c>
      <c r="N772" s="18" t="str">
        <f t="shared" si="3"/>
        <v>Call Spread</v>
      </c>
      <c r="O772" s="18" t="str">
        <f t="shared" si="4"/>
        <v>Success</v>
      </c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</row>
    <row r="773">
      <c r="A773" s="13" t="s">
        <v>796</v>
      </c>
      <c r="B773" s="14" t="s">
        <v>18</v>
      </c>
      <c r="C773" s="15">
        <v>46.36</v>
      </c>
      <c r="D773" s="13" t="s">
        <v>19</v>
      </c>
      <c r="E773" s="15">
        <v>41.82</v>
      </c>
      <c r="F773" s="15">
        <v>4.0</v>
      </c>
      <c r="G773" s="15">
        <v>2.0</v>
      </c>
      <c r="H773" s="15">
        <v>3.0</v>
      </c>
      <c r="I773" s="16">
        <v>0.0</v>
      </c>
      <c r="J773" s="17">
        <f>IFERROR(__xludf.DUMMYFUNCTION("INDEX(GOOGLEFINANCE(A773, ""open"", $J$1, $J$1), 2, 2)"),44.5)</f>
        <v>44.5</v>
      </c>
      <c r="K773" s="17">
        <f>IFERROR(__xludf.DUMMYFUNCTION("INDEX(GOOGLEFINANCE(A773, ""close"", $K$1, $K$1), 2, 2)"),47.08)</f>
        <v>47.08</v>
      </c>
      <c r="L773" s="8">
        <f t="shared" si="1"/>
        <v>5.797752809</v>
      </c>
      <c r="M773" s="18">
        <f t="shared" si="2"/>
        <v>57.97752809</v>
      </c>
      <c r="N773" s="18" t="str">
        <f t="shared" si="3"/>
        <v>Put Spread</v>
      </c>
      <c r="O773" s="18" t="str">
        <f t="shared" si="4"/>
        <v>Success</v>
      </c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</row>
    <row r="774">
      <c r="A774" s="13" t="s">
        <v>797</v>
      </c>
      <c r="B774" s="26" t="s">
        <v>47</v>
      </c>
      <c r="C774" s="15">
        <v>158.35</v>
      </c>
      <c r="D774" s="13" t="s">
        <v>48</v>
      </c>
      <c r="E774" s="15">
        <v>173.59</v>
      </c>
      <c r="F774" s="15">
        <v>0.0</v>
      </c>
      <c r="G774" s="15">
        <v>3.0</v>
      </c>
      <c r="H774" s="15">
        <v>0.0</v>
      </c>
      <c r="I774" s="16">
        <v>-1.7553229</v>
      </c>
      <c r="J774" s="17">
        <f>IFERROR(__xludf.DUMMYFUNCTION("INDEX(GOOGLEFINANCE(A774, ""open"", $J$1, $J$1), 2, 2)"),166.0)</f>
        <v>166</v>
      </c>
      <c r="K774" s="17">
        <f>IFERROR(__xludf.DUMMYFUNCTION("INDEX(GOOGLEFINANCE(A774, ""close"", $K$1, $K$1), 2, 2)"),156.47)</f>
        <v>156.47</v>
      </c>
      <c r="L774" s="8">
        <f t="shared" si="1"/>
        <v>5.740963855</v>
      </c>
      <c r="M774" s="18">
        <f t="shared" si="2"/>
        <v>57.40963855</v>
      </c>
      <c r="N774" s="18" t="str">
        <f t="shared" si="3"/>
        <v>Call Spread</v>
      </c>
      <c r="O774" s="18" t="str">
        <f t="shared" si="4"/>
        <v>Success</v>
      </c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</row>
    <row r="775">
      <c r="A775" s="13" t="s">
        <v>798</v>
      </c>
      <c r="B775" s="26" t="s">
        <v>47</v>
      </c>
      <c r="C775" s="15">
        <v>95.11</v>
      </c>
      <c r="D775" s="13" t="s">
        <v>48</v>
      </c>
      <c r="E775" s="15">
        <v>102.09</v>
      </c>
      <c r="F775" s="15">
        <v>0.0</v>
      </c>
      <c r="G775" s="15">
        <v>2.0</v>
      </c>
      <c r="H775" s="15">
        <v>1.0</v>
      </c>
      <c r="I775" s="16">
        <v>0.0</v>
      </c>
      <c r="J775" s="17">
        <f>IFERROR(__xludf.DUMMYFUNCTION("INDEX(GOOGLEFINANCE(A775, ""open"", $J$1, $J$1), 2, 2)"),94.5)</f>
        <v>94.5</v>
      </c>
      <c r="K775" s="17">
        <f>IFERROR(__xludf.DUMMYFUNCTION("INDEX(GOOGLEFINANCE(A775, ""close"", $K$1, $K$1), 2, 2)"),88.97)</f>
        <v>88.97</v>
      </c>
      <c r="L775" s="20">
        <f t="shared" si="1"/>
        <v>5.851851852</v>
      </c>
      <c r="M775" s="18">
        <f t="shared" si="2"/>
        <v>58.51851852</v>
      </c>
      <c r="N775" s="18" t="str">
        <f t="shared" si="3"/>
        <v>Call Spread</v>
      </c>
      <c r="O775" s="18" t="str">
        <f t="shared" si="4"/>
        <v>Success</v>
      </c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</row>
    <row r="776">
      <c r="A776" s="13" t="s">
        <v>799</v>
      </c>
      <c r="B776" s="26" t="s">
        <v>47</v>
      </c>
      <c r="C776" s="15">
        <v>48.41</v>
      </c>
      <c r="D776" s="13" t="s">
        <v>48</v>
      </c>
      <c r="E776" s="15">
        <v>55.13</v>
      </c>
      <c r="F776" s="15">
        <v>2.0</v>
      </c>
      <c r="G776" s="15">
        <v>1.0</v>
      </c>
      <c r="H776" s="15">
        <v>3.0</v>
      </c>
      <c r="I776" s="16">
        <v>0.0</v>
      </c>
      <c r="J776" s="17">
        <f>IFERROR(__xludf.DUMMYFUNCTION("INDEX(GOOGLEFINANCE(A776, ""open"", $J$1, $J$1), 2, 2)"),52.03)</f>
        <v>52.03</v>
      </c>
      <c r="K776" s="17">
        <f>IFERROR(__xludf.DUMMYFUNCTION("INDEX(GOOGLEFINANCE(A776, ""close"", $K$1, $K$1), 2, 2)"),48.9)</f>
        <v>48.9</v>
      </c>
      <c r="L776" s="8">
        <f t="shared" si="1"/>
        <v>6.015760138</v>
      </c>
      <c r="M776" s="18">
        <f t="shared" si="2"/>
        <v>60.15760138</v>
      </c>
      <c r="N776" s="18" t="str">
        <f t="shared" si="3"/>
        <v>Call Spread</v>
      </c>
      <c r="O776" s="18" t="str">
        <f t="shared" si="4"/>
        <v>Success</v>
      </c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</row>
    <row r="777">
      <c r="A777" s="13" t="s">
        <v>800</v>
      </c>
      <c r="B777" s="26" t="s">
        <v>47</v>
      </c>
      <c r="C777" s="15">
        <v>12.51</v>
      </c>
      <c r="D777" s="13" t="s">
        <v>48</v>
      </c>
      <c r="E777" s="15">
        <v>16.39</v>
      </c>
      <c r="F777" s="15">
        <v>1.0</v>
      </c>
      <c r="G777" s="15">
        <v>4.0</v>
      </c>
      <c r="H777" s="15">
        <v>2.0</v>
      </c>
      <c r="I777" s="16">
        <v>0.0</v>
      </c>
      <c r="J777" s="17">
        <f>IFERROR(__xludf.DUMMYFUNCTION("INDEX(GOOGLEFINANCE(A777, ""open"", $J$1, $J$1), 2, 2)"),14.46)</f>
        <v>14.46</v>
      </c>
      <c r="K777" s="17">
        <f>IFERROR(__xludf.DUMMYFUNCTION("INDEX(GOOGLEFINANCE(A777, ""close"", $K$1, $K$1), 2, 2)"),13.58)</f>
        <v>13.58</v>
      </c>
      <c r="L777" s="8">
        <f t="shared" si="1"/>
        <v>6.085753804</v>
      </c>
      <c r="M777" s="18">
        <f t="shared" si="2"/>
        <v>60.85753804</v>
      </c>
      <c r="N777" s="18" t="str">
        <f t="shared" si="3"/>
        <v>Call Spread</v>
      </c>
      <c r="O777" s="18" t="str">
        <f t="shared" si="4"/>
        <v>Success</v>
      </c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</row>
    <row r="778">
      <c r="A778" s="13" t="s">
        <v>801</v>
      </c>
      <c r="B778" s="14" t="s">
        <v>18</v>
      </c>
      <c r="C778" s="15">
        <v>166.44</v>
      </c>
      <c r="D778" s="13" t="s">
        <v>19</v>
      </c>
      <c r="E778" s="15">
        <v>146.74</v>
      </c>
      <c r="F778" s="15">
        <v>3.0</v>
      </c>
      <c r="G778" s="15">
        <v>3.0</v>
      </c>
      <c r="H778" s="15">
        <v>5.0</v>
      </c>
      <c r="I778" s="16">
        <v>-0.6589521</v>
      </c>
      <c r="J778" s="17">
        <f>IFERROR(__xludf.DUMMYFUNCTION("INDEX(GOOGLEFINANCE(A778, ""open"", $J$1, $J$1), 2, 2)"),158.01)</f>
        <v>158.01</v>
      </c>
      <c r="K778" s="17">
        <f>IFERROR(__xludf.DUMMYFUNCTION("INDEX(GOOGLEFINANCE(A778, ""close"", $K$1, $K$1), 2, 2)"),167.63)</f>
        <v>167.63</v>
      </c>
      <c r="L778" s="20">
        <f t="shared" si="1"/>
        <v>6.088222264</v>
      </c>
      <c r="M778" s="18">
        <f t="shared" si="2"/>
        <v>60.88222264</v>
      </c>
      <c r="N778" s="18" t="str">
        <f t="shared" si="3"/>
        <v>Put Spread</v>
      </c>
      <c r="O778" s="18" t="str">
        <f t="shared" si="4"/>
        <v>Success</v>
      </c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</row>
    <row r="779">
      <c r="A779" s="13" t="s">
        <v>802</v>
      </c>
      <c r="B779" s="26" t="s">
        <v>47</v>
      </c>
      <c r="C779" s="15">
        <v>125.14</v>
      </c>
      <c r="D779" s="13" t="s">
        <v>48</v>
      </c>
      <c r="E779" s="15">
        <v>136.52</v>
      </c>
      <c r="F779" s="15">
        <v>0.0</v>
      </c>
      <c r="G779" s="15">
        <v>1.0</v>
      </c>
      <c r="H779" s="15">
        <v>2.0</v>
      </c>
      <c r="I779" s="16">
        <v>0.0</v>
      </c>
      <c r="J779" s="17">
        <f>IFERROR(__xludf.DUMMYFUNCTION("INDEX(GOOGLEFINANCE(A779, ""open"", $J$1, $J$1), 2, 2)"),130.31)</f>
        <v>130.31</v>
      </c>
      <c r="K779" s="17">
        <f>IFERROR(__xludf.DUMMYFUNCTION("INDEX(GOOGLEFINANCE(A779, ""close"", $K$1, $K$1), 2, 2)"),122.37)</f>
        <v>122.37</v>
      </c>
      <c r="L779" s="8">
        <f t="shared" si="1"/>
        <v>6.093162459</v>
      </c>
      <c r="M779" s="18">
        <f t="shared" si="2"/>
        <v>60.93162459</v>
      </c>
      <c r="N779" s="18" t="str">
        <f t="shared" si="3"/>
        <v>Call Spread</v>
      </c>
      <c r="O779" s="18" t="str">
        <f t="shared" si="4"/>
        <v>Success</v>
      </c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</row>
    <row r="780">
      <c r="A780" s="13" t="s">
        <v>803</v>
      </c>
      <c r="B780" s="26" t="s">
        <v>47</v>
      </c>
      <c r="C780" s="15">
        <v>683.49</v>
      </c>
      <c r="D780" s="13" t="s">
        <v>48</v>
      </c>
      <c r="E780" s="15">
        <v>739.01</v>
      </c>
      <c r="F780" s="15">
        <v>0.0</v>
      </c>
      <c r="G780" s="15">
        <v>1.0</v>
      </c>
      <c r="H780" s="15">
        <v>2.0</v>
      </c>
      <c r="I780" s="16">
        <v>0.0</v>
      </c>
      <c r="J780" s="17">
        <f>IFERROR(__xludf.DUMMYFUNCTION("INDEX(GOOGLEFINANCE(A780, ""open"", $J$1, $J$1), 2, 2)"),735.15)</f>
        <v>735.15</v>
      </c>
      <c r="K780" s="17">
        <f>IFERROR(__xludf.DUMMYFUNCTION("INDEX(GOOGLEFINANCE(A780, ""close"", $K$1, $K$1), 2, 2)"),689.82)</f>
        <v>689.82</v>
      </c>
      <c r="L780" s="20">
        <f t="shared" si="1"/>
        <v>6.166088553</v>
      </c>
      <c r="M780" s="18">
        <f t="shared" si="2"/>
        <v>61.66088553</v>
      </c>
      <c r="N780" s="18" t="str">
        <f t="shared" si="3"/>
        <v>Call Spread</v>
      </c>
      <c r="O780" s="18" t="str">
        <f t="shared" si="4"/>
        <v>Success</v>
      </c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</row>
    <row r="781">
      <c r="A781" s="13" t="s">
        <v>804</v>
      </c>
      <c r="B781" s="26" t="s">
        <v>47</v>
      </c>
      <c r="C781" s="15">
        <v>67.76</v>
      </c>
      <c r="D781" s="13" t="s">
        <v>48</v>
      </c>
      <c r="E781" s="15">
        <v>75.3</v>
      </c>
      <c r="F781" s="15">
        <v>1.0</v>
      </c>
      <c r="G781" s="15">
        <v>2.0</v>
      </c>
      <c r="H781" s="15">
        <v>1.0</v>
      </c>
      <c r="I781" s="16">
        <v>-1.1480263</v>
      </c>
      <c r="J781" s="17">
        <f>IFERROR(__xludf.DUMMYFUNCTION("INDEX(GOOGLEFINANCE(A781, ""open"", $J$1, $J$1), 2, 2)"),72.19)</f>
        <v>72.19</v>
      </c>
      <c r="K781" s="17">
        <f>IFERROR(__xludf.DUMMYFUNCTION("INDEX(GOOGLEFINANCE(A781, ""close"", $K$1, $K$1), 2, 2)"),67.69)</f>
        <v>67.69</v>
      </c>
      <c r="L781" s="8">
        <f t="shared" si="1"/>
        <v>6.233550353</v>
      </c>
      <c r="M781" s="18">
        <f t="shared" si="2"/>
        <v>62.33550353</v>
      </c>
      <c r="N781" s="18" t="str">
        <f t="shared" si="3"/>
        <v>Call Spread</v>
      </c>
      <c r="O781" s="18" t="str">
        <f t="shared" si="4"/>
        <v>Success</v>
      </c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</row>
    <row r="782">
      <c r="A782" s="13" t="s">
        <v>805</v>
      </c>
      <c r="B782" s="26" t="s">
        <v>47</v>
      </c>
      <c r="C782" s="15">
        <v>357.49</v>
      </c>
      <c r="D782" s="13" t="s">
        <v>48</v>
      </c>
      <c r="E782" s="15">
        <v>383.99</v>
      </c>
      <c r="F782" s="15">
        <v>1.0</v>
      </c>
      <c r="G782" s="15">
        <v>1.0</v>
      </c>
      <c r="H782" s="15">
        <v>2.0</v>
      </c>
      <c r="I782" s="16">
        <v>-0.8753988</v>
      </c>
      <c r="J782" s="17">
        <f>IFERROR(__xludf.DUMMYFUNCTION("INDEX(GOOGLEFINANCE(A782, ""open"", $J$1, $J$1), 2, 2)"),371.03)</f>
        <v>371.03</v>
      </c>
      <c r="K782" s="17">
        <f>IFERROR(__xludf.DUMMYFUNCTION("INDEX(GOOGLEFINANCE(A782, ""close"", $K$1, $K$1), 2, 2)"),347.8)</f>
        <v>347.8</v>
      </c>
      <c r="L782" s="8">
        <f t="shared" si="1"/>
        <v>6.260949249</v>
      </c>
      <c r="M782" s="18">
        <f t="shared" si="2"/>
        <v>62.60949249</v>
      </c>
      <c r="N782" s="18" t="str">
        <f t="shared" si="3"/>
        <v>Call Spread</v>
      </c>
      <c r="O782" s="18" t="str">
        <f t="shared" si="4"/>
        <v>Success</v>
      </c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</row>
    <row r="783">
      <c r="A783" s="13" t="s">
        <v>806</v>
      </c>
      <c r="B783" s="26" t="s">
        <v>47</v>
      </c>
      <c r="C783" s="15">
        <v>329.7</v>
      </c>
      <c r="D783" s="13" t="s">
        <v>48</v>
      </c>
      <c r="E783" s="15">
        <v>398.48</v>
      </c>
      <c r="F783" s="15">
        <v>1.0</v>
      </c>
      <c r="G783" s="15">
        <v>3.0</v>
      </c>
      <c r="H783" s="15">
        <v>2.0</v>
      </c>
      <c r="I783" s="16">
        <v>0.0</v>
      </c>
      <c r="J783" s="17">
        <f>IFERROR(__xludf.DUMMYFUNCTION("INDEX(GOOGLEFINANCE(A783, ""open"", $J$1, $J$1), 2, 2)"),362.25)</f>
        <v>362.25</v>
      </c>
      <c r="K783" s="17">
        <f>IFERROR(__xludf.DUMMYFUNCTION("INDEX(GOOGLEFINANCE(A783, ""close"", $K$1, $K$1), 2, 2)"),338.99)</f>
        <v>338.99</v>
      </c>
      <c r="L783" s="8">
        <f t="shared" si="1"/>
        <v>6.420979986</v>
      </c>
      <c r="M783" s="18">
        <f t="shared" si="2"/>
        <v>64.20979986</v>
      </c>
      <c r="N783" s="18" t="str">
        <f t="shared" si="3"/>
        <v>Call Spread</v>
      </c>
      <c r="O783" s="18" t="str">
        <f t="shared" si="4"/>
        <v>Success</v>
      </c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</row>
    <row r="784">
      <c r="A784" s="13" t="s">
        <v>807</v>
      </c>
      <c r="B784" s="26" t="s">
        <v>47</v>
      </c>
      <c r="C784" s="15">
        <v>69.43</v>
      </c>
      <c r="D784" s="13" t="s">
        <v>48</v>
      </c>
      <c r="E784" s="15">
        <v>73.05</v>
      </c>
      <c r="F784" s="15">
        <v>1.0</v>
      </c>
      <c r="G784" s="15">
        <v>2.0</v>
      </c>
      <c r="H784" s="15">
        <v>3.0</v>
      </c>
      <c r="I784" s="16">
        <v>0.0</v>
      </c>
      <c r="J784" s="17">
        <f>IFERROR(__xludf.DUMMYFUNCTION("INDEX(GOOGLEFINANCE(A784, ""open"", $J$1, $J$1), 2, 2)"),71.22)</f>
        <v>71.22</v>
      </c>
      <c r="K784" s="17">
        <f>IFERROR(__xludf.DUMMYFUNCTION("INDEX(GOOGLEFINANCE(A784, ""close"", $K$1, $K$1), 2, 2)"),66.62)</f>
        <v>66.62</v>
      </c>
      <c r="L784" s="8">
        <f t="shared" si="1"/>
        <v>6.458859871</v>
      </c>
      <c r="M784" s="18">
        <f t="shared" si="2"/>
        <v>64.58859871</v>
      </c>
      <c r="N784" s="18" t="str">
        <f t="shared" si="3"/>
        <v>Call Spread</v>
      </c>
      <c r="O784" s="18" t="str">
        <f t="shared" si="4"/>
        <v>Success</v>
      </c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</row>
    <row r="785">
      <c r="A785" s="13" t="s">
        <v>808</v>
      </c>
      <c r="B785" s="14" t="s">
        <v>18</v>
      </c>
      <c r="C785" s="15">
        <v>65.61</v>
      </c>
      <c r="D785" s="13" t="s">
        <v>19</v>
      </c>
      <c r="E785" s="15">
        <v>49.69</v>
      </c>
      <c r="F785" s="15">
        <v>3.0</v>
      </c>
      <c r="G785" s="15">
        <v>3.0</v>
      </c>
      <c r="H785" s="15">
        <v>5.0</v>
      </c>
      <c r="I785" s="16">
        <v>0.0</v>
      </c>
      <c r="J785" s="17">
        <f>IFERROR(__xludf.DUMMYFUNCTION("INDEX(GOOGLEFINANCE(A785, ""open"", $J$1, $J$1), 2, 2)"),58.74)</f>
        <v>58.74</v>
      </c>
      <c r="K785" s="17">
        <f>IFERROR(__xludf.DUMMYFUNCTION("INDEX(GOOGLEFINANCE(A785, ""close"", $K$1, $K$1), 2, 2)"),62.55)</f>
        <v>62.55</v>
      </c>
      <c r="L785" s="8">
        <f t="shared" si="1"/>
        <v>6.486210419</v>
      </c>
      <c r="M785" s="18">
        <f t="shared" si="2"/>
        <v>64.86210419</v>
      </c>
      <c r="N785" s="18" t="str">
        <f t="shared" si="3"/>
        <v>Put Spread</v>
      </c>
      <c r="O785" s="18" t="str">
        <f t="shared" si="4"/>
        <v>Success</v>
      </c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</row>
    <row r="786">
      <c r="A786" s="13" t="s">
        <v>809</v>
      </c>
      <c r="B786" s="14" t="s">
        <v>18</v>
      </c>
      <c r="C786" s="15">
        <v>347.38</v>
      </c>
      <c r="D786" s="13" t="s">
        <v>19</v>
      </c>
      <c r="E786" s="15">
        <v>317.0</v>
      </c>
      <c r="F786" s="15">
        <v>5.0</v>
      </c>
      <c r="G786" s="15">
        <v>2.0</v>
      </c>
      <c r="H786" s="15">
        <v>5.0</v>
      </c>
      <c r="I786" s="16">
        <v>0.0</v>
      </c>
      <c r="J786" s="17">
        <f>IFERROR(__xludf.DUMMYFUNCTION("INDEX(GOOGLEFINANCE(A786, ""open"", $J$1, $J$1), 2, 2)"),334.48)</f>
        <v>334.48</v>
      </c>
      <c r="K786" s="17">
        <f>IFERROR(__xludf.DUMMYFUNCTION("INDEX(GOOGLEFINANCE(A786, ""close"", $K$1, $K$1), 2, 2)"),356.97)</f>
        <v>356.97</v>
      </c>
      <c r="L786" s="8">
        <f t="shared" si="1"/>
        <v>6.723869888</v>
      </c>
      <c r="M786" s="18">
        <f t="shared" si="2"/>
        <v>67.23869888</v>
      </c>
      <c r="N786" s="18" t="str">
        <f t="shared" si="3"/>
        <v>Put Spread</v>
      </c>
      <c r="O786" s="18" t="str">
        <f t="shared" si="4"/>
        <v>Success</v>
      </c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</row>
    <row r="787">
      <c r="A787" s="13" t="s">
        <v>810</v>
      </c>
      <c r="B787" s="26" t="s">
        <v>47</v>
      </c>
      <c r="C787" s="15">
        <v>9.99</v>
      </c>
      <c r="D787" s="13" t="s">
        <v>48</v>
      </c>
      <c r="E787" s="15">
        <v>11.53</v>
      </c>
      <c r="F787" s="15">
        <v>2.0</v>
      </c>
      <c r="G787" s="15">
        <v>5.0</v>
      </c>
      <c r="H787" s="15">
        <v>1.0</v>
      </c>
      <c r="I787" s="16">
        <v>0.0</v>
      </c>
      <c r="J787" s="17">
        <f>IFERROR(__xludf.DUMMYFUNCTION("INDEX(GOOGLEFINANCE(A787, ""open"", $J$1, $J$1), 2, 2)"),10.69)</f>
        <v>10.69</v>
      </c>
      <c r="K787" s="17">
        <f>IFERROR(__xludf.DUMMYFUNCTION("INDEX(GOOGLEFINANCE(A787, ""close"", $K$1, $K$1), 2, 2)"),9.96)</f>
        <v>9.96</v>
      </c>
      <c r="L787" s="8">
        <f t="shared" si="1"/>
        <v>6.828811974</v>
      </c>
      <c r="M787" s="18">
        <f t="shared" si="2"/>
        <v>68.28811974</v>
      </c>
      <c r="N787" s="18" t="str">
        <f t="shared" si="3"/>
        <v>Call Spread</v>
      </c>
      <c r="O787" s="18" t="str">
        <f t="shared" si="4"/>
        <v>Success</v>
      </c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</row>
    <row r="788">
      <c r="A788" s="13" t="s">
        <v>811</v>
      </c>
      <c r="B788" s="14" t="s">
        <v>18</v>
      </c>
      <c r="C788" s="15">
        <v>26.05</v>
      </c>
      <c r="D788" s="13" t="s">
        <v>19</v>
      </c>
      <c r="E788" s="15">
        <v>22.53</v>
      </c>
      <c r="F788" s="15">
        <v>5.0</v>
      </c>
      <c r="G788" s="15">
        <v>1.0</v>
      </c>
      <c r="H788" s="15">
        <v>1.0</v>
      </c>
      <c r="I788" s="16">
        <v>1.21032054243827</v>
      </c>
      <c r="J788" s="17">
        <f>IFERROR(__xludf.DUMMYFUNCTION("INDEX(GOOGLEFINANCE(A788, ""open"", $J$1, $J$1), 2, 2)"),24.04)</f>
        <v>24.04</v>
      </c>
      <c r="K788" s="17">
        <f>IFERROR(__xludf.DUMMYFUNCTION("INDEX(GOOGLEFINANCE(A788, ""close"", $K$1, $K$1), 2, 2)"),25.69)</f>
        <v>25.69</v>
      </c>
      <c r="L788" s="20">
        <f t="shared" si="1"/>
        <v>6.863560732</v>
      </c>
      <c r="M788" s="18">
        <f t="shared" si="2"/>
        <v>68.63560732</v>
      </c>
      <c r="N788" s="18" t="str">
        <f t="shared" si="3"/>
        <v>Put Spread</v>
      </c>
      <c r="O788" s="18" t="str">
        <f t="shared" si="4"/>
        <v>Success</v>
      </c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</row>
    <row r="789">
      <c r="A789" s="13" t="s">
        <v>812</v>
      </c>
      <c r="B789" s="26" t="s">
        <v>47</v>
      </c>
      <c r="C789" s="15">
        <v>19.51</v>
      </c>
      <c r="D789" s="13" t="s">
        <v>48</v>
      </c>
      <c r="E789" s="15">
        <v>21.89</v>
      </c>
      <c r="F789" s="15">
        <v>0.0</v>
      </c>
      <c r="G789" s="15">
        <v>1.0</v>
      </c>
      <c r="H789" s="15">
        <v>0.0</v>
      </c>
      <c r="I789" s="16">
        <v>-2.7635579</v>
      </c>
      <c r="J789" s="17">
        <f>IFERROR(__xludf.DUMMYFUNCTION("INDEX(GOOGLEFINANCE(A789, ""open"", $J$1, $J$1), 2, 2)"),20.82)</f>
        <v>20.82</v>
      </c>
      <c r="K789" s="17">
        <f>IFERROR(__xludf.DUMMYFUNCTION("INDEX(GOOGLEFINANCE(A789, ""close"", $K$1, $K$1), 2, 2)"),19.31)</f>
        <v>19.31</v>
      </c>
      <c r="L789" s="20">
        <f t="shared" si="1"/>
        <v>7.252641691</v>
      </c>
      <c r="M789" s="18">
        <f t="shared" si="2"/>
        <v>72.52641691</v>
      </c>
      <c r="N789" s="18" t="str">
        <f t="shared" si="3"/>
        <v>Call Spread</v>
      </c>
      <c r="O789" s="18" t="str">
        <f t="shared" si="4"/>
        <v>Success</v>
      </c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</row>
    <row r="790">
      <c r="A790" s="13" t="s">
        <v>813</v>
      </c>
      <c r="B790" s="14" t="s">
        <v>18</v>
      </c>
      <c r="C790" s="15">
        <v>6.87</v>
      </c>
      <c r="D790" s="13" t="s">
        <v>19</v>
      </c>
      <c r="E790" s="15">
        <v>5.59</v>
      </c>
      <c r="F790" s="15">
        <v>3.0</v>
      </c>
      <c r="G790" s="15">
        <v>0.0</v>
      </c>
      <c r="H790" s="15">
        <v>2.0</v>
      </c>
      <c r="I790" s="16">
        <v>0.412939154882904</v>
      </c>
      <c r="J790" s="17">
        <f>IFERROR(__xludf.DUMMYFUNCTION("INDEX(GOOGLEFINANCE(A790, ""open"", $J$1, $J$1), 2, 2)"),6.18)</f>
        <v>6.18</v>
      </c>
      <c r="K790" s="17">
        <f>IFERROR(__xludf.DUMMYFUNCTION("INDEX(GOOGLEFINANCE(A790, ""close"", $K$1, $K$1), 2, 2)"),6.63)</f>
        <v>6.63</v>
      </c>
      <c r="L790" s="20">
        <f t="shared" si="1"/>
        <v>7.281553398</v>
      </c>
      <c r="M790" s="18">
        <f t="shared" si="2"/>
        <v>72.81553398</v>
      </c>
      <c r="N790" s="18" t="str">
        <f t="shared" si="3"/>
        <v>Put Spread</v>
      </c>
      <c r="O790" s="18" t="str">
        <f t="shared" si="4"/>
        <v>Success</v>
      </c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</row>
    <row r="791">
      <c r="A791" s="13" t="s">
        <v>814</v>
      </c>
      <c r="B791" s="14" t="s">
        <v>18</v>
      </c>
      <c r="C791" s="15">
        <v>73.14</v>
      </c>
      <c r="D791" s="13" t="s">
        <v>19</v>
      </c>
      <c r="E791" s="15">
        <v>67.26</v>
      </c>
      <c r="F791" s="15">
        <v>3.0</v>
      </c>
      <c r="G791" s="15">
        <v>1.0</v>
      </c>
      <c r="H791" s="15">
        <v>4.0</v>
      </c>
      <c r="I791" s="16">
        <v>-0.8183419</v>
      </c>
      <c r="J791" s="17">
        <f>IFERROR(__xludf.DUMMYFUNCTION("INDEX(GOOGLEFINANCE(A791, ""open"", $J$1, $J$1), 2, 2)"),70.35)</f>
        <v>70.35</v>
      </c>
      <c r="K791" s="17">
        <f>IFERROR(__xludf.DUMMYFUNCTION("INDEX(GOOGLEFINANCE(A791, ""close"", $K$1, $K$1), 2, 2)"),75.59)</f>
        <v>75.59</v>
      </c>
      <c r="L791" s="8">
        <f t="shared" si="1"/>
        <v>7.448471926</v>
      </c>
      <c r="M791" s="18">
        <f t="shared" si="2"/>
        <v>74.48471926</v>
      </c>
      <c r="N791" s="18" t="str">
        <f t="shared" si="3"/>
        <v>Put Spread</v>
      </c>
      <c r="O791" s="18" t="str">
        <f t="shared" si="4"/>
        <v>Success</v>
      </c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</row>
    <row r="792">
      <c r="A792" s="13" t="s">
        <v>815</v>
      </c>
      <c r="B792" s="14" t="s">
        <v>18</v>
      </c>
      <c r="C792" s="15">
        <v>39.0</v>
      </c>
      <c r="D792" s="13" t="s">
        <v>19</v>
      </c>
      <c r="E792" s="15">
        <v>34.72</v>
      </c>
      <c r="F792" s="15">
        <v>2.0</v>
      </c>
      <c r="G792" s="15">
        <v>2.0</v>
      </c>
      <c r="H792" s="15">
        <v>3.0</v>
      </c>
      <c r="I792" s="16">
        <v>0.0</v>
      </c>
      <c r="J792" s="17">
        <f>IFERROR(__xludf.DUMMYFUNCTION("INDEX(GOOGLEFINANCE(A792, ""open"", $J$1, $J$1), 2, 2)"),36.28)</f>
        <v>36.28</v>
      </c>
      <c r="K792" s="17">
        <f>IFERROR(__xludf.DUMMYFUNCTION("INDEX(GOOGLEFINANCE(A792, ""close"", $K$1, $K$1), 2, 2)"),38.99)</f>
        <v>38.99</v>
      </c>
      <c r="L792" s="8">
        <f t="shared" si="1"/>
        <v>7.469680265</v>
      </c>
      <c r="M792" s="18">
        <f t="shared" si="2"/>
        <v>74.69680265</v>
      </c>
      <c r="N792" s="18" t="str">
        <f t="shared" si="3"/>
        <v>Put Spread</v>
      </c>
      <c r="O792" s="18" t="str">
        <f t="shared" si="4"/>
        <v>Success</v>
      </c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</row>
    <row r="793">
      <c r="A793" s="13" t="s">
        <v>816</v>
      </c>
      <c r="B793" s="14" t="s">
        <v>18</v>
      </c>
      <c r="C793" s="15">
        <v>5.37</v>
      </c>
      <c r="D793" s="13" t="s">
        <v>19</v>
      </c>
      <c r="E793" s="15">
        <v>4.65</v>
      </c>
      <c r="F793" s="15">
        <v>5.0</v>
      </c>
      <c r="G793" s="15">
        <v>2.0</v>
      </c>
      <c r="H793" s="15">
        <v>1.0</v>
      </c>
      <c r="I793" s="16">
        <v>0.0</v>
      </c>
      <c r="J793" s="17">
        <f>IFERROR(__xludf.DUMMYFUNCTION("INDEX(GOOGLEFINANCE(A793, ""open"", $J$1, $J$1), 2, 2)"),5.08)</f>
        <v>5.08</v>
      </c>
      <c r="K793" s="17">
        <f>IFERROR(__xludf.DUMMYFUNCTION("INDEX(GOOGLEFINANCE(A793, ""close"", $K$1, $K$1), 2, 2)"),5.46)</f>
        <v>5.46</v>
      </c>
      <c r="L793" s="20">
        <f t="shared" si="1"/>
        <v>7.480314961</v>
      </c>
      <c r="M793" s="18">
        <f t="shared" si="2"/>
        <v>74.80314961</v>
      </c>
      <c r="N793" s="18" t="str">
        <f t="shared" si="3"/>
        <v>Put Spread</v>
      </c>
      <c r="O793" s="18" t="str">
        <f t="shared" si="4"/>
        <v>Success</v>
      </c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</row>
    <row r="794">
      <c r="A794" s="13" t="s">
        <v>817</v>
      </c>
      <c r="B794" s="14" t="s">
        <v>18</v>
      </c>
      <c r="C794" s="15">
        <v>19.56</v>
      </c>
      <c r="D794" s="13" t="s">
        <v>19</v>
      </c>
      <c r="E794" s="15">
        <v>16.94</v>
      </c>
      <c r="F794" s="15">
        <v>2.0</v>
      </c>
      <c r="G794" s="15">
        <v>1.0</v>
      </c>
      <c r="H794" s="15">
        <v>1.0</v>
      </c>
      <c r="I794" s="16">
        <v>0.0</v>
      </c>
      <c r="J794" s="17">
        <f>IFERROR(__xludf.DUMMYFUNCTION("INDEX(GOOGLEFINANCE(A794, ""open"", $J$1, $J$1), 2, 2)"),18.13)</f>
        <v>18.13</v>
      </c>
      <c r="K794" s="17">
        <f>IFERROR(__xludf.DUMMYFUNCTION("INDEX(GOOGLEFINANCE(A794, ""close"", $K$1, $K$1), 2, 2)"),19.52)</f>
        <v>19.52</v>
      </c>
      <c r="L794" s="20">
        <f t="shared" si="1"/>
        <v>7.666850524</v>
      </c>
      <c r="M794" s="18">
        <f t="shared" si="2"/>
        <v>76.66850524</v>
      </c>
      <c r="N794" s="18" t="str">
        <f t="shared" si="3"/>
        <v>Put Spread</v>
      </c>
      <c r="O794" s="18" t="str">
        <f t="shared" si="4"/>
        <v>Success</v>
      </c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</row>
    <row r="795">
      <c r="A795" s="13" t="s">
        <v>818</v>
      </c>
      <c r="B795" s="14" t="s">
        <v>18</v>
      </c>
      <c r="C795" s="15">
        <v>206.63</v>
      </c>
      <c r="D795" s="13" t="s">
        <v>19</v>
      </c>
      <c r="E795" s="15">
        <v>177.77</v>
      </c>
      <c r="F795" s="15">
        <v>2.0</v>
      </c>
      <c r="G795" s="15">
        <v>2.0</v>
      </c>
      <c r="H795" s="15">
        <v>4.0</v>
      </c>
      <c r="I795" s="16">
        <v>-0.8431933</v>
      </c>
      <c r="J795" s="17">
        <f>IFERROR(__xludf.DUMMYFUNCTION("INDEX(GOOGLEFINANCE(A795, ""open"", $J$1, $J$1), 2, 2)"),193.11)</f>
        <v>193.11</v>
      </c>
      <c r="K795" s="17">
        <f>IFERROR(__xludf.DUMMYFUNCTION("INDEX(GOOGLEFINANCE(A795, ""close"", $K$1, $K$1), 2, 2)"),208.05)</f>
        <v>208.05</v>
      </c>
      <c r="L795" s="8">
        <f t="shared" si="1"/>
        <v>7.736523225</v>
      </c>
      <c r="M795" s="18">
        <f t="shared" si="2"/>
        <v>77.36523225</v>
      </c>
      <c r="N795" s="18" t="str">
        <f t="shared" si="3"/>
        <v>Put Spread</v>
      </c>
      <c r="O795" s="18" t="str">
        <f t="shared" si="4"/>
        <v>Success</v>
      </c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</row>
    <row r="796">
      <c r="A796" s="13" t="s">
        <v>819</v>
      </c>
      <c r="B796" s="26" t="s">
        <v>47</v>
      </c>
      <c r="C796" s="15">
        <v>240.47</v>
      </c>
      <c r="D796" s="13" t="s">
        <v>48</v>
      </c>
      <c r="E796" s="15">
        <v>263.89</v>
      </c>
      <c r="F796" s="15">
        <v>2.0</v>
      </c>
      <c r="G796" s="15">
        <v>1.0</v>
      </c>
      <c r="H796" s="15">
        <v>4.0</v>
      </c>
      <c r="I796" s="16">
        <v>0.0</v>
      </c>
      <c r="J796" s="17">
        <f>IFERROR(__xludf.DUMMYFUNCTION("INDEX(GOOGLEFINANCE(A796, ""open"", $J$1, $J$1), 2, 2)"),254.84)</f>
        <v>254.84</v>
      </c>
      <c r="K796" s="17">
        <f>IFERROR(__xludf.DUMMYFUNCTION("INDEX(GOOGLEFINANCE(A796, ""close"", $K$1, $K$1), 2, 2)"),235.02)</f>
        <v>235.02</v>
      </c>
      <c r="L796" s="8">
        <f t="shared" si="1"/>
        <v>7.777428975</v>
      </c>
      <c r="M796" s="18">
        <f t="shared" si="2"/>
        <v>77.77428975</v>
      </c>
      <c r="N796" s="18" t="str">
        <f t="shared" si="3"/>
        <v>Call Spread</v>
      </c>
      <c r="O796" s="18" t="str">
        <f t="shared" si="4"/>
        <v>Success</v>
      </c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</row>
    <row r="797">
      <c r="A797" s="13" t="s">
        <v>820</v>
      </c>
      <c r="B797" s="14" t="s">
        <v>18</v>
      </c>
      <c r="C797" s="15">
        <v>1.66</v>
      </c>
      <c r="D797" s="13" t="s">
        <v>19</v>
      </c>
      <c r="E797" s="15">
        <v>1.37</v>
      </c>
      <c r="F797" s="15">
        <v>5.0</v>
      </c>
      <c r="G797" s="15">
        <v>2.0</v>
      </c>
      <c r="H797" s="15">
        <v>4.0</v>
      </c>
      <c r="I797" s="16">
        <v>0.0</v>
      </c>
      <c r="J797" s="17">
        <f>IFERROR(__xludf.DUMMYFUNCTION("INDEX(GOOGLEFINANCE(A797, ""open"", $J$1, $J$1), 2, 2)"),1.53)</f>
        <v>1.53</v>
      </c>
      <c r="K797" s="17">
        <f>IFERROR(__xludf.DUMMYFUNCTION("INDEX(GOOGLEFINANCE(A797, ""close"", $K$1, $K$1), 2, 2)"),1.65)</f>
        <v>1.65</v>
      </c>
      <c r="L797" s="8">
        <f t="shared" si="1"/>
        <v>7.843137255</v>
      </c>
      <c r="M797" s="18">
        <f t="shared" si="2"/>
        <v>78.43137255</v>
      </c>
      <c r="N797" s="18" t="str">
        <f t="shared" si="3"/>
        <v>Put Spread</v>
      </c>
      <c r="O797" s="18" t="str">
        <f t="shared" si="4"/>
        <v>Success</v>
      </c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</row>
    <row r="798">
      <c r="A798" s="13" t="s">
        <v>821</v>
      </c>
      <c r="B798" s="14" t="s">
        <v>18</v>
      </c>
      <c r="C798" s="15">
        <v>5.33</v>
      </c>
      <c r="D798" s="13" t="s">
        <v>19</v>
      </c>
      <c r="E798" s="15">
        <v>3.33</v>
      </c>
      <c r="F798" s="15">
        <v>2.0</v>
      </c>
      <c r="G798" s="15">
        <v>4.0</v>
      </c>
      <c r="H798" s="15">
        <v>1.0</v>
      </c>
      <c r="I798" s="16">
        <v>0.0</v>
      </c>
      <c r="J798" s="17">
        <f>IFERROR(__xludf.DUMMYFUNCTION("INDEX(GOOGLEFINANCE(A798, ""open"", $J$1, $J$1), 2, 2)"),4.32)</f>
        <v>4.32</v>
      </c>
      <c r="K798" s="17">
        <f>IFERROR(__xludf.DUMMYFUNCTION("INDEX(GOOGLEFINANCE(A798, ""close"", $K$1, $K$1), 2, 2)"),4.66)</f>
        <v>4.66</v>
      </c>
      <c r="L798" s="8">
        <f t="shared" si="1"/>
        <v>7.87037037</v>
      </c>
      <c r="M798" s="18">
        <f t="shared" si="2"/>
        <v>78.7037037</v>
      </c>
      <c r="N798" s="18" t="str">
        <f t="shared" si="3"/>
        <v>Put Spread</v>
      </c>
      <c r="O798" s="18" t="str">
        <f t="shared" si="4"/>
        <v>Success</v>
      </c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</row>
    <row r="799">
      <c r="A799" s="13" t="s">
        <v>822</v>
      </c>
      <c r="B799" s="14" t="s">
        <v>18</v>
      </c>
      <c r="C799" s="15">
        <v>16.89</v>
      </c>
      <c r="D799" s="13" t="s">
        <v>19</v>
      </c>
      <c r="E799" s="15">
        <v>14.09</v>
      </c>
      <c r="F799" s="15">
        <v>2.0</v>
      </c>
      <c r="G799" s="15">
        <v>2.0</v>
      </c>
      <c r="H799" s="15">
        <v>1.0</v>
      </c>
      <c r="I799" s="16">
        <v>0.112692460845409</v>
      </c>
      <c r="J799" s="17">
        <f>IFERROR(__xludf.DUMMYFUNCTION("INDEX(GOOGLEFINANCE(A799, ""open"", $J$1, $J$1), 2, 2)"),15.45)</f>
        <v>15.45</v>
      </c>
      <c r="K799" s="17">
        <f>IFERROR(__xludf.DUMMYFUNCTION("INDEX(GOOGLEFINANCE(A799, ""close"", $K$1, $K$1), 2, 2)"),16.67)</f>
        <v>16.67</v>
      </c>
      <c r="L799" s="8">
        <f t="shared" si="1"/>
        <v>7.896440129</v>
      </c>
      <c r="M799" s="18">
        <f t="shared" si="2"/>
        <v>78.96440129</v>
      </c>
      <c r="N799" s="18" t="str">
        <f t="shared" si="3"/>
        <v>Put Spread</v>
      </c>
      <c r="O799" s="18" t="str">
        <f t="shared" si="4"/>
        <v>Success</v>
      </c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</row>
    <row r="800">
      <c r="A800" s="13" t="s">
        <v>823</v>
      </c>
      <c r="B800" s="26" t="s">
        <v>47</v>
      </c>
      <c r="C800" s="15">
        <v>339.52</v>
      </c>
      <c r="D800" s="13" t="s">
        <v>48</v>
      </c>
      <c r="E800" s="15">
        <v>373.76</v>
      </c>
      <c r="F800" s="15">
        <v>0.0</v>
      </c>
      <c r="G800" s="15">
        <v>4.0</v>
      </c>
      <c r="H800" s="15">
        <v>0.0</v>
      </c>
      <c r="I800" s="16">
        <v>-1.0860319</v>
      </c>
      <c r="J800" s="17">
        <f>IFERROR(__xludf.DUMMYFUNCTION("INDEX(GOOGLEFINANCE(A800, ""open"", $J$1, $J$1), 2, 2)"),356.74)</f>
        <v>356.74</v>
      </c>
      <c r="K800" s="17">
        <f>IFERROR(__xludf.DUMMYFUNCTION("INDEX(GOOGLEFINANCE(A800, ""close"", $K$1, $K$1), 2, 2)"),328.54)</f>
        <v>328.54</v>
      </c>
      <c r="L800" s="20">
        <f t="shared" si="1"/>
        <v>7.904916746</v>
      </c>
      <c r="M800" s="18">
        <f t="shared" si="2"/>
        <v>79.04916746</v>
      </c>
      <c r="N800" s="18" t="str">
        <f t="shared" si="3"/>
        <v>Call Spread</v>
      </c>
      <c r="O800" s="18" t="str">
        <f t="shared" si="4"/>
        <v>Success</v>
      </c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</row>
    <row r="801">
      <c r="A801" s="13" t="s">
        <v>824</v>
      </c>
      <c r="B801" s="14" t="s">
        <v>18</v>
      </c>
      <c r="C801" s="15">
        <v>17.63</v>
      </c>
      <c r="D801" s="13" t="s">
        <v>19</v>
      </c>
      <c r="E801" s="15">
        <v>16.51</v>
      </c>
      <c r="F801" s="15">
        <v>3.0</v>
      </c>
      <c r="G801" s="15">
        <v>1.0</v>
      </c>
      <c r="H801" s="15">
        <v>2.0</v>
      </c>
      <c r="I801" s="16">
        <v>-2.4573148</v>
      </c>
      <c r="J801" s="17">
        <f>IFERROR(__xludf.DUMMYFUNCTION("INDEX(GOOGLEFINANCE(A801, ""open"", $J$1, $J$1), 2, 2)"),17.15)</f>
        <v>17.15</v>
      </c>
      <c r="K801" s="17">
        <f>IFERROR(__xludf.DUMMYFUNCTION("INDEX(GOOGLEFINANCE(A801, ""close"", $K$1, $K$1), 2, 2)"),18.53)</f>
        <v>18.53</v>
      </c>
      <c r="L801" s="8">
        <f t="shared" si="1"/>
        <v>8.04664723</v>
      </c>
      <c r="M801" s="18">
        <f t="shared" si="2"/>
        <v>80.4664723</v>
      </c>
      <c r="N801" s="18" t="str">
        <f t="shared" si="3"/>
        <v>Put Spread</v>
      </c>
      <c r="O801" s="18" t="str">
        <f t="shared" si="4"/>
        <v>Success</v>
      </c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</row>
    <row r="802">
      <c r="A802" s="13" t="s">
        <v>825</v>
      </c>
      <c r="B802" s="14" t="s">
        <v>18</v>
      </c>
      <c r="C802" s="15">
        <v>8.54</v>
      </c>
      <c r="D802" s="13" t="s">
        <v>19</v>
      </c>
      <c r="E802" s="15">
        <v>6.76</v>
      </c>
      <c r="F802" s="15">
        <v>5.0</v>
      </c>
      <c r="G802" s="15">
        <v>1.0</v>
      </c>
      <c r="H802" s="15">
        <v>1.0</v>
      </c>
      <c r="I802" s="16">
        <v>0.0</v>
      </c>
      <c r="J802" s="17">
        <f>IFERROR(__xludf.DUMMYFUNCTION("INDEX(GOOGLEFINANCE(A802, ""open"", $J$1, $J$1), 2, 2)"),7.41)</f>
        <v>7.41</v>
      </c>
      <c r="K802" s="17">
        <f>IFERROR(__xludf.DUMMYFUNCTION("INDEX(GOOGLEFINANCE(A802, ""close"", $K$1, $K$1), 2, 2)"),8.01)</f>
        <v>8.01</v>
      </c>
      <c r="L802" s="20">
        <f t="shared" si="1"/>
        <v>8.097165992</v>
      </c>
      <c r="M802" s="18">
        <f t="shared" si="2"/>
        <v>80.97165992</v>
      </c>
      <c r="N802" s="18" t="str">
        <f t="shared" si="3"/>
        <v>Put Spread</v>
      </c>
      <c r="O802" s="18" t="str">
        <f t="shared" si="4"/>
        <v>Success</v>
      </c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</row>
    <row r="803">
      <c r="A803" s="13" t="s">
        <v>826</v>
      </c>
      <c r="B803" s="26" t="s">
        <v>47</v>
      </c>
      <c r="C803" s="15">
        <v>72.87</v>
      </c>
      <c r="D803" s="13" t="s">
        <v>48</v>
      </c>
      <c r="E803" s="15">
        <v>80.71</v>
      </c>
      <c r="F803" s="15">
        <v>0.0</v>
      </c>
      <c r="G803" s="15">
        <v>1.0</v>
      </c>
      <c r="H803" s="15">
        <v>4.0</v>
      </c>
      <c r="I803" s="16">
        <v>-1.1656331</v>
      </c>
      <c r="J803" s="17">
        <f>IFERROR(__xludf.DUMMYFUNCTION("INDEX(GOOGLEFINANCE(A803, ""open"", $J$1, $J$1), 2, 2)"),8.09)</f>
        <v>8.09</v>
      </c>
      <c r="K803" s="17">
        <f>IFERROR(__xludf.DUMMYFUNCTION("INDEX(GOOGLEFINANCE(A803, ""close"", $K$1, $K$1), 2, 2)"),7.43)</f>
        <v>7.43</v>
      </c>
      <c r="L803" s="20">
        <f t="shared" si="1"/>
        <v>8.158220025</v>
      </c>
      <c r="M803" s="18">
        <f t="shared" si="2"/>
        <v>81.58220025</v>
      </c>
      <c r="N803" s="18" t="str">
        <f t="shared" si="3"/>
        <v>Call Spread</v>
      </c>
      <c r="O803" s="18" t="str">
        <f t="shared" si="4"/>
        <v>Success</v>
      </c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</row>
    <row r="804">
      <c r="A804" s="13" t="s">
        <v>827</v>
      </c>
      <c r="B804" s="26" t="s">
        <v>47</v>
      </c>
      <c r="C804" s="15">
        <v>190.73</v>
      </c>
      <c r="D804" s="13" t="s">
        <v>48</v>
      </c>
      <c r="E804" s="15">
        <v>207.61</v>
      </c>
      <c r="F804" s="15">
        <v>1.0</v>
      </c>
      <c r="G804" s="15">
        <v>1.0</v>
      </c>
      <c r="H804" s="15">
        <v>4.0</v>
      </c>
      <c r="I804" s="16">
        <v>1.34054009131174</v>
      </c>
      <c r="J804" s="17">
        <f>IFERROR(__xludf.DUMMYFUNCTION("INDEX(GOOGLEFINANCE(A804, ""open"", $J$1, $J$1), 2, 2)"),198.68)</f>
        <v>198.68</v>
      </c>
      <c r="K804" s="17">
        <f>IFERROR(__xludf.DUMMYFUNCTION("INDEX(GOOGLEFINANCE(A804, ""close"", $K$1, $K$1), 2, 2)"),182.45)</f>
        <v>182.45</v>
      </c>
      <c r="L804" s="8">
        <f t="shared" si="1"/>
        <v>8.168914838</v>
      </c>
      <c r="M804" s="18">
        <f t="shared" si="2"/>
        <v>81.68914838</v>
      </c>
      <c r="N804" s="18" t="str">
        <f t="shared" si="3"/>
        <v>Call Spread</v>
      </c>
      <c r="O804" s="18" t="str">
        <f t="shared" si="4"/>
        <v>Success</v>
      </c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</row>
    <row r="805">
      <c r="A805" s="13" t="s">
        <v>828</v>
      </c>
      <c r="B805" s="26" t="s">
        <v>47</v>
      </c>
      <c r="C805" s="15">
        <v>196.09</v>
      </c>
      <c r="D805" s="13" t="s">
        <v>48</v>
      </c>
      <c r="E805" s="15">
        <v>207.41</v>
      </c>
      <c r="F805" s="15">
        <v>1.0</v>
      </c>
      <c r="G805" s="15">
        <v>1.0</v>
      </c>
      <c r="H805" s="15">
        <v>1.0</v>
      </c>
      <c r="I805" s="16">
        <v>1.23048867444953</v>
      </c>
      <c r="J805" s="17">
        <f>IFERROR(__xludf.DUMMYFUNCTION("INDEX(GOOGLEFINANCE(A805, ""open"", $J$1, $J$1), 2, 2)"),201.35)</f>
        <v>201.35</v>
      </c>
      <c r="K805" s="17">
        <f>IFERROR(__xludf.DUMMYFUNCTION("INDEX(GOOGLEFINANCE(A805, ""close"", $K$1, $K$1), 2, 2)"),184.44)</f>
        <v>184.44</v>
      </c>
      <c r="L805" s="20">
        <f t="shared" si="1"/>
        <v>8.398311398</v>
      </c>
      <c r="M805" s="18">
        <f t="shared" si="2"/>
        <v>83.98311398</v>
      </c>
      <c r="N805" s="18" t="str">
        <f t="shared" si="3"/>
        <v>Call Spread</v>
      </c>
      <c r="O805" s="18" t="str">
        <f t="shared" si="4"/>
        <v>Success</v>
      </c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</row>
    <row r="806">
      <c r="A806" s="13" t="s">
        <v>829</v>
      </c>
      <c r="B806" s="14" t="s">
        <v>18</v>
      </c>
      <c r="C806" s="15">
        <v>34.16</v>
      </c>
      <c r="D806" s="13" t="s">
        <v>19</v>
      </c>
      <c r="E806" s="15">
        <v>31.08</v>
      </c>
      <c r="F806" s="15">
        <v>4.0</v>
      </c>
      <c r="G806" s="15">
        <v>2.0</v>
      </c>
      <c r="H806" s="15">
        <v>1.0</v>
      </c>
      <c r="I806" s="16">
        <v>0.0</v>
      </c>
      <c r="J806" s="17">
        <f>IFERROR(__xludf.DUMMYFUNCTION("INDEX(GOOGLEFINANCE(A806, ""open"", $J$1, $J$1), 2, 2)"),32.3)</f>
        <v>32.3</v>
      </c>
      <c r="K806" s="17">
        <f>IFERROR(__xludf.DUMMYFUNCTION("INDEX(GOOGLEFINANCE(A806, ""close"", $K$1, $K$1), 2, 2)"),33.17)</f>
        <v>33.17</v>
      </c>
      <c r="L806" s="8">
        <f t="shared" si="1"/>
        <v>2.693498452</v>
      </c>
      <c r="M806" s="18">
        <f t="shared" si="2"/>
        <v>26.93498452</v>
      </c>
      <c r="N806" s="18" t="str">
        <f t="shared" si="3"/>
        <v>Put Spread</v>
      </c>
      <c r="O806" s="18" t="str">
        <f t="shared" si="4"/>
        <v>Success</v>
      </c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</row>
    <row r="807">
      <c r="A807" s="13" t="s">
        <v>830</v>
      </c>
      <c r="B807" s="26" t="s">
        <v>47</v>
      </c>
      <c r="C807" s="15">
        <v>31.29</v>
      </c>
      <c r="D807" s="13" t="s">
        <v>48</v>
      </c>
      <c r="E807" s="15">
        <v>36.11</v>
      </c>
      <c r="F807" s="15">
        <v>2.0</v>
      </c>
      <c r="G807" s="15">
        <v>2.0</v>
      </c>
      <c r="H807" s="15">
        <v>2.0</v>
      </c>
      <c r="I807" s="16">
        <v>-1.4996114</v>
      </c>
      <c r="J807" s="17">
        <f>IFERROR(__xludf.DUMMYFUNCTION("INDEX(GOOGLEFINANCE(A807, ""open"", $J$1, $J$1), 2, 2)"),34.19)</f>
        <v>34.19</v>
      </c>
      <c r="K807" s="17">
        <f>IFERROR(__xludf.DUMMYFUNCTION("INDEX(GOOGLEFINANCE(A807, ""close"", $K$1, $K$1), 2, 2)"),31.26)</f>
        <v>31.26</v>
      </c>
      <c r="L807" s="8">
        <f t="shared" si="1"/>
        <v>8.569757239</v>
      </c>
      <c r="M807" s="18">
        <f t="shared" si="2"/>
        <v>85.69757239</v>
      </c>
      <c r="N807" s="18" t="str">
        <f t="shared" si="3"/>
        <v>Call Spread</v>
      </c>
      <c r="O807" s="18" t="str">
        <f t="shared" si="4"/>
        <v>Success</v>
      </c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</row>
    <row r="808">
      <c r="A808" s="13" t="s">
        <v>831</v>
      </c>
      <c r="B808" s="26" t="s">
        <v>47</v>
      </c>
      <c r="C808" s="15">
        <v>81.26</v>
      </c>
      <c r="D808" s="13" t="s">
        <v>48</v>
      </c>
      <c r="E808" s="15">
        <v>90.26</v>
      </c>
      <c r="F808" s="15">
        <v>2.0</v>
      </c>
      <c r="G808" s="15">
        <v>4.0</v>
      </c>
      <c r="H808" s="15">
        <v>4.0</v>
      </c>
      <c r="I808" s="16">
        <v>0.0</v>
      </c>
      <c r="J808" s="17">
        <f>IFERROR(__xludf.DUMMYFUNCTION("INDEX(GOOGLEFINANCE(A808, ""open"", $J$1, $J$1), 2, 2)"),85.36)</f>
        <v>85.36</v>
      </c>
      <c r="K808" s="17">
        <f>IFERROR(__xludf.DUMMYFUNCTION("INDEX(GOOGLEFINANCE(A808, ""close"", $K$1, $K$1), 2, 2)"),78.04)</f>
        <v>78.04</v>
      </c>
      <c r="L808" s="8">
        <f t="shared" si="1"/>
        <v>8.575445173</v>
      </c>
      <c r="M808" s="18">
        <f t="shared" si="2"/>
        <v>85.75445173</v>
      </c>
      <c r="N808" s="18" t="str">
        <f t="shared" si="3"/>
        <v>Call Spread</v>
      </c>
      <c r="O808" s="18" t="str">
        <f t="shared" si="4"/>
        <v>Success</v>
      </c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</row>
    <row r="809">
      <c r="A809" s="13" t="s">
        <v>832</v>
      </c>
      <c r="B809" s="26" t="s">
        <v>47</v>
      </c>
      <c r="C809" s="15">
        <v>44.94</v>
      </c>
      <c r="D809" s="13" t="s">
        <v>48</v>
      </c>
      <c r="E809" s="15">
        <v>48.58</v>
      </c>
      <c r="F809" s="15">
        <v>1.0</v>
      </c>
      <c r="G809" s="15">
        <v>1.0</v>
      </c>
      <c r="H809" s="15">
        <v>0.0</v>
      </c>
      <c r="I809" s="16">
        <v>0.0</v>
      </c>
      <c r="J809" s="17">
        <f>IFERROR(__xludf.DUMMYFUNCTION("INDEX(GOOGLEFINANCE(A809, ""open"", $J$1, $J$1), 2, 2)"),46.56)</f>
        <v>46.56</v>
      </c>
      <c r="K809" s="17">
        <f>IFERROR(__xludf.DUMMYFUNCTION("INDEX(GOOGLEFINANCE(A809, ""close"", $K$1, $K$1), 2, 2)"),42.52)</f>
        <v>42.52</v>
      </c>
      <c r="L809" s="20">
        <f t="shared" si="1"/>
        <v>8.676975945</v>
      </c>
      <c r="M809" s="18">
        <f t="shared" si="2"/>
        <v>86.76975945</v>
      </c>
      <c r="N809" s="18" t="str">
        <f t="shared" si="3"/>
        <v>Call Spread</v>
      </c>
      <c r="O809" s="18" t="str">
        <f t="shared" si="4"/>
        <v>Success</v>
      </c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</row>
    <row r="810">
      <c r="A810" s="13" t="s">
        <v>833</v>
      </c>
      <c r="B810" s="26" t="s">
        <v>47</v>
      </c>
      <c r="C810" s="15">
        <v>12.65</v>
      </c>
      <c r="D810" s="13" t="s">
        <v>48</v>
      </c>
      <c r="E810" s="15">
        <v>14.63</v>
      </c>
      <c r="F810" s="15">
        <v>2.0</v>
      </c>
      <c r="G810" s="15">
        <v>1.0</v>
      </c>
      <c r="H810" s="15">
        <v>4.0</v>
      </c>
      <c r="I810" s="16">
        <v>0.74547369</v>
      </c>
      <c r="J810" s="17">
        <f>IFERROR(__xludf.DUMMYFUNCTION("INDEX(GOOGLEFINANCE(A810, ""open"", $J$1, $J$1), 2, 2)"),13.67)</f>
        <v>13.67</v>
      </c>
      <c r="K810" s="17">
        <f>IFERROR(__xludf.DUMMYFUNCTION("INDEX(GOOGLEFINANCE(A810, ""close"", $K$1, $K$1), 2, 2)"),12.46)</f>
        <v>12.46</v>
      </c>
      <c r="L810" s="8">
        <f t="shared" si="1"/>
        <v>8.851499634</v>
      </c>
      <c r="M810" s="18">
        <f t="shared" si="2"/>
        <v>88.51499634</v>
      </c>
      <c r="N810" s="18" t="str">
        <f t="shared" si="3"/>
        <v>Call Spread</v>
      </c>
      <c r="O810" s="18" t="str">
        <f t="shared" si="4"/>
        <v>Success</v>
      </c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</row>
    <row r="811">
      <c r="A811" s="13" t="s">
        <v>834</v>
      </c>
      <c r="B811" s="26" t="s">
        <v>47</v>
      </c>
      <c r="C811" s="15">
        <v>273.78</v>
      </c>
      <c r="D811" s="13" t="s">
        <v>48</v>
      </c>
      <c r="E811" s="15">
        <v>292.52</v>
      </c>
      <c r="F811" s="15">
        <v>1.0</v>
      </c>
      <c r="G811" s="15">
        <v>1.0</v>
      </c>
      <c r="H811" s="15">
        <v>1.0</v>
      </c>
      <c r="I811" s="16">
        <v>0.0</v>
      </c>
      <c r="J811" s="17">
        <f>IFERROR(__xludf.DUMMYFUNCTION("INDEX(GOOGLEFINANCE(A811, ""open"", $J$1, $J$1), 2, 2)"),280.19)</f>
        <v>280.19</v>
      </c>
      <c r="K811" s="17">
        <f>IFERROR(__xludf.DUMMYFUNCTION("INDEX(GOOGLEFINANCE(A811, ""close"", $K$1, $K$1), 2, 2)"),255.37)</f>
        <v>255.37</v>
      </c>
      <c r="L811" s="20">
        <f t="shared" si="1"/>
        <v>8.858274742</v>
      </c>
      <c r="M811" s="18">
        <f t="shared" si="2"/>
        <v>88.58274742</v>
      </c>
      <c r="N811" s="18" t="str">
        <f t="shared" si="3"/>
        <v>Call Spread</v>
      </c>
      <c r="O811" s="18" t="str">
        <f t="shared" si="4"/>
        <v>Success</v>
      </c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</row>
    <row r="812">
      <c r="A812" s="13" t="s">
        <v>835</v>
      </c>
      <c r="B812" s="14" t="s">
        <v>18</v>
      </c>
      <c r="C812" s="15">
        <v>237.2</v>
      </c>
      <c r="D812" s="13" t="s">
        <v>19</v>
      </c>
      <c r="E812" s="15">
        <v>184.02</v>
      </c>
      <c r="F812" s="15">
        <v>5.0</v>
      </c>
      <c r="G812" s="15">
        <v>3.0</v>
      </c>
      <c r="H812" s="15">
        <v>2.0</v>
      </c>
      <c r="I812" s="16">
        <v>0.0</v>
      </c>
      <c r="J812" s="17">
        <f>IFERROR(__xludf.DUMMYFUNCTION("INDEX(GOOGLEFINANCE(A812, ""open"", $J$1, $J$1), 2, 2)"),213.28)</f>
        <v>213.28</v>
      </c>
      <c r="K812" s="17">
        <f>IFERROR(__xludf.DUMMYFUNCTION("INDEX(GOOGLEFINANCE(A812, ""close"", $K$1, $K$1), 2, 2)"),232.73)</f>
        <v>232.73</v>
      </c>
      <c r="L812" s="20">
        <f t="shared" si="1"/>
        <v>9.119467367</v>
      </c>
      <c r="M812" s="18">
        <f t="shared" si="2"/>
        <v>91.19467367</v>
      </c>
      <c r="N812" s="18" t="str">
        <f t="shared" si="3"/>
        <v>Put Spread</v>
      </c>
      <c r="O812" s="18" t="str">
        <f t="shared" si="4"/>
        <v>Success</v>
      </c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</row>
    <row r="813">
      <c r="A813" s="13" t="s">
        <v>836</v>
      </c>
      <c r="B813" s="14" t="s">
        <v>18</v>
      </c>
      <c r="C813" s="15">
        <v>24.67</v>
      </c>
      <c r="D813" s="13" t="s">
        <v>19</v>
      </c>
      <c r="E813" s="15">
        <v>21.51</v>
      </c>
      <c r="F813" s="15">
        <v>3.0</v>
      </c>
      <c r="G813" s="15">
        <v>2.0</v>
      </c>
      <c r="H813" s="15">
        <v>0.0</v>
      </c>
      <c r="I813" s="16">
        <v>0.0</v>
      </c>
      <c r="J813" s="17">
        <f>IFERROR(__xludf.DUMMYFUNCTION("INDEX(GOOGLEFINANCE(A813, ""open"", $J$1, $J$1), 2, 2)"),23.45)</f>
        <v>23.45</v>
      </c>
      <c r="K813" s="17">
        <f>IFERROR(__xludf.DUMMYFUNCTION("INDEX(GOOGLEFINANCE(A813, ""close"", $K$1, $K$1), 2, 2)"),25.62)</f>
        <v>25.62</v>
      </c>
      <c r="L813" s="20">
        <f t="shared" si="1"/>
        <v>9.253731343</v>
      </c>
      <c r="M813" s="18">
        <f t="shared" si="2"/>
        <v>92.53731343</v>
      </c>
      <c r="N813" s="18" t="str">
        <f t="shared" si="3"/>
        <v>Put Spread</v>
      </c>
      <c r="O813" s="18" t="str">
        <f t="shared" si="4"/>
        <v>Success</v>
      </c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</row>
    <row r="814">
      <c r="A814" s="13" t="s">
        <v>837</v>
      </c>
      <c r="B814" s="14" t="s">
        <v>18</v>
      </c>
      <c r="C814" s="15">
        <v>41.57</v>
      </c>
      <c r="D814" s="13" t="s">
        <v>19</v>
      </c>
      <c r="E814" s="15">
        <v>37.33</v>
      </c>
      <c r="F814" s="15">
        <v>3.0</v>
      </c>
      <c r="G814" s="15">
        <v>1.0</v>
      </c>
      <c r="H814" s="15">
        <v>1.0</v>
      </c>
      <c r="I814" s="16">
        <v>0.0</v>
      </c>
      <c r="J814" s="17">
        <f>IFERROR(__xludf.DUMMYFUNCTION("INDEX(GOOGLEFINANCE(A814, ""open"", $J$1, $J$1), 2, 2)"),39.58)</f>
        <v>39.58</v>
      </c>
      <c r="K814" s="17">
        <f>IFERROR(__xludf.DUMMYFUNCTION("INDEX(GOOGLEFINANCE(A814, ""close"", $K$1, $K$1), 2, 2)"),43.26)</f>
        <v>43.26</v>
      </c>
      <c r="L814" s="8">
        <f t="shared" si="1"/>
        <v>9.297625063</v>
      </c>
      <c r="M814" s="18">
        <f t="shared" si="2"/>
        <v>92.97625063</v>
      </c>
      <c r="N814" s="18" t="str">
        <f t="shared" si="3"/>
        <v>Put Spread</v>
      </c>
      <c r="O814" s="18" t="str">
        <f t="shared" si="4"/>
        <v>Success</v>
      </c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</row>
    <row r="815">
      <c r="A815" s="13" t="s">
        <v>838</v>
      </c>
      <c r="B815" s="26" t="s">
        <v>47</v>
      </c>
      <c r="C815" s="15">
        <v>53.04</v>
      </c>
      <c r="D815" s="13" t="s">
        <v>48</v>
      </c>
      <c r="E815" s="15">
        <v>64.32</v>
      </c>
      <c r="F815" s="15">
        <v>1.0</v>
      </c>
      <c r="G815" s="15">
        <v>4.0</v>
      </c>
      <c r="H815" s="15">
        <v>4.0</v>
      </c>
      <c r="I815" s="16">
        <v>0.0</v>
      </c>
      <c r="J815" s="17">
        <f>IFERROR(__xludf.DUMMYFUNCTION("INDEX(GOOGLEFINANCE(A815, ""open"", $J$1, $J$1), 2, 2)"),58.13)</f>
        <v>58.13</v>
      </c>
      <c r="K815" s="17">
        <f>IFERROR(__xludf.DUMMYFUNCTION("INDEX(GOOGLEFINANCE(A815, ""close"", $K$1, $K$1), 2, 2)"),52.71)</f>
        <v>52.71</v>
      </c>
      <c r="L815" s="8">
        <f t="shared" si="1"/>
        <v>9.323929124</v>
      </c>
      <c r="M815" s="18">
        <f t="shared" si="2"/>
        <v>93.23929124</v>
      </c>
      <c r="N815" s="18" t="str">
        <f t="shared" si="3"/>
        <v>Call Spread</v>
      </c>
      <c r="O815" s="18" t="str">
        <f t="shared" si="4"/>
        <v>Success</v>
      </c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</row>
    <row r="816">
      <c r="A816" s="13" t="s">
        <v>839</v>
      </c>
      <c r="B816" s="26" t="s">
        <v>47</v>
      </c>
      <c r="C816" s="15">
        <v>104.72</v>
      </c>
      <c r="D816" s="13" t="s">
        <v>48</v>
      </c>
      <c r="E816" s="15">
        <v>126.52</v>
      </c>
      <c r="F816" s="27"/>
      <c r="G816" s="27"/>
      <c r="H816" s="27"/>
      <c r="I816" s="28"/>
      <c r="J816" s="17">
        <f>IFERROR(__xludf.DUMMYFUNCTION("INDEX(GOOGLEFINANCE(A816, ""open"", $J$1, $J$1), 2, 2)"),115.0)</f>
        <v>115</v>
      </c>
      <c r="K816" s="17">
        <f>IFERROR(__xludf.DUMMYFUNCTION("INDEX(GOOGLEFINANCE(A816, ""close"", $K$1, $K$1), 2, 2)"),104.14)</f>
        <v>104.14</v>
      </c>
      <c r="L816" s="8">
        <f t="shared" si="1"/>
        <v>9.443478261</v>
      </c>
      <c r="M816" s="18">
        <f t="shared" si="2"/>
        <v>94.43478261</v>
      </c>
      <c r="N816" s="18" t="str">
        <f t="shared" si="3"/>
        <v>Call Spread</v>
      </c>
      <c r="O816" s="18" t="str">
        <f t="shared" si="4"/>
        <v>Success</v>
      </c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</row>
    <row r="817">
      <c r="A817" s="13" t="s">
        <v>840</v>
      </c>
      <c r="B817" s="14" t="s">
        <v>18</v>
      </c>
      <c r="C817" s="15">
        <v>363.15</v>
      </c>
      <c r="D817" s="13" t="s">
        <v>19</v>
      </c>
      <c r="E817" s="15">
        <v>301.09</v>
      </c>
      <c r="F817" s="15">
        <v>3.0</v>
      </c>
      <c r="G817" s="15">
        <v>3.0</v>
      </c>
      <c r="H817" s="15">
        <v>2.0</v>
      </c>
      <c r="I817" s="16">
        <v>0.0</v>
      </c>
      <c r="J817" s="17">
        <f>IFERROR(__xludf.DUMMYFUNCTION("INDEX(GOOGLEFINANCE(A817, ""open"", $J$1, $J$1), 2, 2)"),335.81)</f>
        <v>335.81</v>
      </c>
      <c r="K817" s="17">
        <f>IFERROR(__xludf.DUMMYFUNCTION("INDEX(GOOGLEFINANCE(A817, ""close"", $K$1, $K$1), 2, 2)"),367.78)</f>
        <v>367.78</v>
      </c>
      <c r="L817" s="8">
        <f t="shared" si="1"/>
        <v>9.520264435</v>
      </c>
      <c r="M817" s="18">
        <f t="shared" si="2"/>
        <v>95.20264435</v>
      </c>
      <c r="N817" s="18" t="str">
        <f t="shared" si="3"/>
        <v>Put Spread</v>
      </c>
      <c r="O817" s="18" t="str">
        <f t="shared" si="4"/>
        <v>Success</v>
      </c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</row>
    <row r="818">
      <c r="A818" s="13" t="s">
        <v>841</v>
      </c>
      <c r="B818" s="26" t="s">
        <v>47</v>
      </c>
      <c r="C818" s="15">
        <v>31.84</v>
      </c>
      <c r="D818" s="13" t="s">
        <v>48</v>
      </c>
      <c r="E818" s="15">
        <v>34.58</v>
      </c>
      <c r="F818" s="15">
        <v>0.0</v>
      </c>
      <c r="G818" s="15">
        <v>1.0</v>
      </c>
      <c r="H818" s="15">
        <v>2.0</v>
      </c>
      <c r="I818" s="16">
        <v>-0.8511163</v>
      </c>
      <c r="J818" s="17">
        <f>IFERROR(__xludf.DUMMYFUNCTION("INDEX(GOOGLEFINANCE(A818, ""open"", $J$1, $J$1), 2, 2)"),33.0)</f>
        <v>33</v>
      </c>
      <c r="K818" s="17">
        <f>IFERROR(__xludf.DUMMYFUNCTION("INDEX(GOOGLEFINANCE(A818, ""close"", $K$1, $K$1), 2, 2)"),29.8)</f>
        <v>29.8</v>
      </c>
      <c r="L818" s="8">
        <f t="shared" si="1"/>
        <v>9.696969697</v>
      </c>
      <c r="M818" s="18">
        <f t="shared" si="2"/>
        <v>96.96969697</v>
      </c>
      <c r="N818" s="18" t="str">
        <f t="shared" si="3"/>
        <v>Call Spread</v>
      </c>
      <c r="O818" s="18" t="str">
        <f t="shared" si="4"/>
        <v>Success</v>
      </c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</row>
    <row r="819">
      <c r="A819" s="13" t="s">
        <v>842</v>
      </c>
      <c r="B819" s="26" t="s">
        <v>47</v>
      </c>
      <c r="C819" s="15">
        <v>1444.84</v>
      </c>
      <c r="D819" s="13" t="s">
        <v>48</v>
      </c>
      <c r="E819" s="15">
        <v>1620.2</v>
      </c>
      <c r="F819" s="15">
        <v>2.0</v>
      </c>
      <c r="G819" s="15">
        <v>1.0</v>
      </c>
      <c r="H819" s="15">
        <v>0.0</v>
      </c>
      <c r="I819" s="16">
        <v>0.0</v>
      </c>
      <c r="J819" s="17">
        <f>IFERROR(__xludf.DUMMYFUNCTION("INDEX(GOOGLEFINANCE(A819, ""open"", $J$1, $J$1), 2, 2)"),1529.51)</f>
        <v>1529.51</v>
      </c>
      <c r="K819" s="17">
        <f>IFERROR(__xludf.DUMMYFUNCTION("INDEX(GOOGLEFINANCE(A819, ""close"", $K$1, $K$1), 2, 2)"),1381.07)</f>
        <v>1381.07</v>
      </c>
      <c r="L819" s="8">
        <f t="shared" si="1"/>
        <v>9.705068944</v>
      </c>
      <c r="M819" s="18">
        <f t="shared" si="2"/>
        <v>97.05068944</v>
      </c>
      <c r="N819" s="18" t="str">
        <f t="shared" si="3"/>
        <v>Call Spread</v>
      </c>
      <c r="O819" s="18" t="str">
        <f t="shared" si="4"/>
        <v>Success</v>
      </c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</row>
    <row r="820">
      <c r="A820" s="13" t="s">
        <v>843</v>
      </c>
      <c r="B820" s="14" t="s">
        <v>18</v>
      </c>
      <c r="C820" s="15">
        <v>118.9</v>
      </c>
      <c r="D820" s="13" t="s">
        <v>19</v>
      </c>
      <c r="E820" s="15">
        <v>97.34</v>
      </c>
      <c r="F820" s="15">
        <v>2.0</v>
      </c>
      <c r="G820" s="15">
        <v>2.0</v>
      </c>
      <c r="H820" s="15">
        <v>2.0</v>
      </c>
      <c r="I820" s="16">
        <v>0.0</v>
      </c>
      <c r="J820" s="17">
        <f>IFERROR(__xludf.DUMMYFUNCTION("INDEX(GOOGLEFINANCE(A820, ""open"", $J$1, $J$1), 2, 2)"),109.35)</f>
        <v>109.35</v>
      </c>
      <c r="K820" s="17">
        <f>IFERROR(__xludf.DUMMYFUNCTION("INDEX(GOOGLEFINANCE(A820, ""close"", $K$1, $K$1), 2, 2)"),120.55)</f>
        <v>120.55</v>
      </c>
      <c r="L820" s="8">
        <f t="shared" si="1"/>
        <v>10.24234111</v>
      </c>
      <c r="M820" s="18">
        <f t="shared" si="2"/>
        <v>102.4234111</v>
      </c>
      <c r="N820" s="18" t="str">
        <f t="shared" si="3"/>
        <v>Put Spread</v>
      </c>
      <c r="O820" s="18" t="str">
        <f t="shared" si="4"/>
        <v>Success</v>
      </c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</row>
    <row r="821">
      <c r="A821" s="13" t="s">
        <v>844</v>
      </c>
      <c r="B821" s="14" t="s">
        <v>18</v>
      </c>
      <c r="C821" s="15">
        <v>71.2</v>
      </c>
      <c r="D821" s="13" t="s">
        <v>19</v>
      </c>
      <c r="E821" s="15">
        <v>66.44</v>
      </c>
      <c r="F821" s="15">
        <v>3.0</v>
      </c>
      <c r="G821" s="15">
        <v>2.0</v>
      </c>
      <c r="H821" s="15">
        <v>4.0</v>
      </c>
      <c r="I821" s="16">
        <v>-1.598175</v>
      </c>
      <c r="J821" s="17">
        <f>IFERROR(__xludf.DUMMYFUNCTION("INDEX(GOOGLEFINANCE(A821, ""open"", $J$1, $J$1), 2, 2)"),69.4)</f>
        <v>69.4</v>
      </c>
      <c r="K821" s="17">
        <f>IFERROR(__xludf.DUMMYFUNCTION("INDEX(GOOGLEFINANCE(A821, ""close"", $K$1, $K$1), 2, 2)"),76.55)</f>
        <v>76.55</v>
      </c>
      <c r="L821" s="8">
        <f t="shared" si="1"/>
        <v>10.30259366</v>
      </c>
      <c r="M821" s="18">
        <f t="shared" si="2"/>
        <v>103.0259366</v>
      </c>
      <c r="N821" s="18" t="str">
        <f t="shared" si="3"/>
        <v>Put Spread</v>
      </c>
      <c r="O821" s="18" t="str">
        <f t="shared" si="4"/>
        <v>Success</v>
      </c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</row>
    <row r="822">
      <c r="A822" s="13" t="s">
        <v>845</v>
      </c>
      <c r="B822" s="14" t="s">
        <v>18</v>
      </c>
      <c r="C822" s="15">
        <v>44.96</v>
      </c>
      <c r="D822" s="13" t="s">
        <v>19</v>
      </c>
      <c r="E822" s="15">
        <v>37.5</v>
      </c>
      <c r="F822" s="15">
        <v>4.0</v>
      </c>
      <c r="G822" s="15">
        <v>1.0</v>
      </c>
      <c r="H822" s="15">
        <v>1.0</v>
      </c>
      <c r="I822" s="16">
        <v>0.0</v>
      </c>
      <c r="J822" s="17">
        <f>IFERROR(__xludf.DUMMYFUNCTION("INDEX(GOOGLEFINANCE(A822, ""open"", $J$1, $J$1), 2, 2)"),40.4)</f>
        <v>40.4</v>
      </c>
      <c r="K822" s="17">
        <f>IFERROR(__xludf.DUMMYFUNCTION("INDEX(GOOGLEFINANCE(A822, ""close"", $K$1, $K$1), 2, 2)"),44.76)</f>
        <v>44.76</v>
      </c>
      <c r="L822" s="8">
        <f t="shared" si="1"/>
        <v>10.79207921</v>
      </c>
      <c r="M822" s="18">
        <f t="shared" si="2"/>
        <v>107.9207921</v>
      </c>
      <c r="N822" s="18" t="str">
        <f t="shared" si="3"/>
        <v>Put Spread</v>
      </c>
      <c r="O822" s="18" t="str">
        <f t="shared" si="4"/>
        <v>Success</v>
      </c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</row>
    <row r="823">
      <c r="A823" s="13" t="s">
        <v>846</v>
      </c>
      <c r="B823" s="14" t="s">
        <v>18</v>
      </c>
      <c r="C823" s="15">
        <v>16.21</v>
      </c>
      <c r="D823" s="13" t="s">
        <v>19</v>
      </c>
      <c r="E823" s="15">
        <v>13.79</v>
      </c>
      <c r="F823" s="15">
        <v>5.0</v>
      </c>
      <c r="G823" s="15">
        <v>3.0</v>
      </c>
      <c r="H823" s="15">
        <v>5.0</v>
      </c>
      <c r="I823" s="16">
        <v>0.389103383093907</v>
      </c>
      <c r="J823" s="17">
        <f>IFERROR(__xludf.DUMMYFUNCTION("INDEX(GOOGLEFINANCE(A823, ""open"", $J$1, $J$1), 2, 2)"),14.89)</f>
        <v>14.89</v>
      </c>
      <c r="K823" s="17">
        <f>IFERROR(__xludf.DUMMYFUNCTION("INDEX(GOOGLEFINANCE(A823, ""close"", $K$1, $K$1), 2, 2)"),16.54)</f>
        <v>16.54</v>
      </c>
      <c r="L823" s="8">
        <f t="shared" si="1"/>
        <v>11.08126259</v>
      </c>
      <c r="M823" s="18">
        <f t="shared" si="2"/>
        <v>110.8126259</v>
      </c>
      <c r="N823" s="18" t="str">
        <f t="shared" si="3"/>
        <v>Put Spread</v>
      </c>
      <c r="O823" s="18" t="str">
        <f t="shared" si="4"/>
        <v>Success</v>
      </c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</row>
    <row r="824">
      <c r="A824" s="13" t="s">
        <v>847</v>
      </c>
      <c r="B824" s="26" t="s">
        <v>47</v>
      </c>
      <c r="C824" s="15">
        <v>21.95</v>
      </c>
      <c r="D824" s="13" t="s">
        <v>48</v>
      </c>
      <c r="E824" s="15">
        <v>26.37</v>
      </c>
      <c r="F824" s="15">
        <v>0.0</v>
      </c>
      <c r="G824" s="15">
        <v>3.0</v>
      </c>
      <c r="H824" s="15">
        <v>2.0</v>
      </c>
      <c r="I824" s="16">
        <v>3.24930049399361</v>
      </c>
      <c r="J824" s="17">
        <f>IFERROR(__xludf.DUMMYFUNCTION("INDEX(GOOGLEFINANCE(A824, ""open"", $J$1, $J$1), 2, 2)"),24.4)</f>
        <v>24.4</v>
      </c>
      <c r="K824" s="17">
        <f>IFERROR(__xludf.DUMMYFUNCTION("INDEX(GOOGLEFINANCE(A824, ""close"", $K$1, $K$1), 2, 2)"),21.68)</f>
        <v>21.68</v>
      </c>
      <c r="L824" s="8">
        <f t="shared" si="1"/>
        <v>11.14754098</v>
      </c>
      <c r="M824" s="18">
        <f t="shared" si="2"/>
        <v>111.4754098</v>
      </c>
      <c r="N824" s="18" t="str">
        <f t="shared" si="3"/>
        <v>Call Spread</v>
      </c>
      <c r="O824" s="18" t="str">
        <f t="shared" si="4"/>
        <v>Success</v>
      </c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</row>
    <row r="825">
      <c r="A825" s="13" t="s">
        <v>848</v>
      </c>
      <c r="B825" s="14" t="s">
        <v>18</v>
      </c>
      <c r="C825" s="15">
        <v>106.75</v>
      </c>
      <c r="D825" s="13" t="s">
        <v>19</v>
      </c>
      <c r="E825" s="15">
        <v>98.67</v>
      </c>
      <c r="F825" s="15">
        <v>5.0</v>
      </c>
      <c r="G825" s="15">
        <v>3.0</v>
      </c>
      <c r="H825" s="15">
        <v>4.0</v>
      </c>
      <c r="I825" s="16">
        <v>0.0</v>
      </c>
      <c r="J825" s="17">
        <f>IFERROR(__xludf.DUMMYFUNCTION("INDEX(GOOGLEFINANCE(A825, ""open"", $J$1, $J$1), 2, 2)"),102.23)</f>
        <v>102.23</v>
      </c>
      <c r="K825" s="17">
        <f>IFERROR(__xludf.DUMMYFUNCTION("INDEX(GOOGLEFINANCE(A825, ""close"", $K$1, $K$1), 2, 2)"),113.86)</f>
        <v>113.86</v>
      </c>
      <c r="L825" s="8">
        <f t="shared" si="1"/>
        <v>11.37630832</v>
      </c>
      <c r="M825" s="18">
        <f t="shared" si="2"/>
        <v>113.7630832</v>
      </c>
      <c r="N825" s="18" t="str">
        <f t="shared" si="3"/>
        <v>Put Spread</v>
      </c>
      <c r="O825" s="18" t="str">
        <f t="shared" si="4"/>
        <v>Success</v>
      </c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</row>
    <row r="826">
      <c r="A826" s="13" t="s">
        <v>849</v>
      </c>
      <c r="B826" s="26" t="s">
        <v>47</v>
      </c>
      <c r="C826" s="15">
        <v>160.55</v>
      </c>
      <c r="D826" s="13" t="s">
        <v>48</v>
      </c>
      <c r="E826" s="15">
        <v>180.93</v>
      </c>
      <c r="F826" s="15">
        <v>1.0</v>
      </c>
      <c r="G826" s="15">
        <v>2.0</v>
      </c>
      <c r="H826" s="15">
        <v>1.0</v>
      </c>
      <c r="I826" s="16">
        <v>0.0</v>
      </c>
      <c r="J826" s="17">
        <f>IFERROR(__xludf.DUMMYFUNCTION("INDEX(GOOGLEFINANCE(A826, ""open"", $J$1, $J$1), 2, 2)"),170.95)</f>
        <v>170.95</v>
      </c>
      <c r="K826" s="17">
        <f>IFERROR(__xludf.DUMMYFUNCTION("INDEX(GOOGLEFINANCE(A826, ""close"", $K$1, $K$1), 2, 2)"),150.99)</f>
        <v>150.99</v>
      </c>
      <c r="L826" s="20">
        <f t="shared" si="1"/>
        <v>11.67592863</v>
      </c>
      <c r="M826" s="18">
        <f t="shared" si="2"/>
        <v>116.7592863</v>
      </c>
      <c r="N826" s="18" t="str">
        <f t="shared" si="3"/>
        <v>Call Spread</v>
      </c>
      <c r="O826" s="18" t="str">
        <f t="shared" si="4"/>
        <v>Success</v>
      </c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</row>
    <row r="827">
      <c r="A827" s="13" t="s">
        <v>850</v>
      </c>
      <c r="B827" s="14" t="s">
        <v>18</v>
      </c>
      <c r="C827" s="15">
        <v>57.61</v>
      </c>
      <c r="D827" s="13" t="s">
        <v>19</v>
      </c>
      <c r="E827" s="15">
        <v>53.11</v>
      </c>
      <c r="F827" s="15">
        <v>3.0</v>
      </c>
      <c r="G827" s="15">
        <v>2.0</v>
      </c>
      <c r="H827" s="15">
        <v>5.0</v>
      </c>
      <c r="I827" s="16">
        <v>-2.7167604</v>
      </c>
      <c r="J827" s="17">
        <f>IFERROR(__xludf.DUMMYFUNCTION("INDEX(GOOGLEFINANCE(A827, ""open"", $J$1, $J$1), 2, 2)"),55.55)</f>
        <v>55.55</v>
      </c>
      <c r="K827" s="17">
        <f>IFERROR(__xludf.DUMMYFUNCTION("INDEX(GOOGLEFINANCE(A827, ""close"", $K$1, $K$1), 2, 2)"),62.05)</f>
        <v>62.05</v>
      </c>
      <c r="L827" s="8">
        <f t="shared" si="1"/>
        <v>11.70117012</v>
      </c>
      <c r="M827" s="18">
        <f t="shared" si="2"/>
        <v>117.0117012</v>
      </c>
      <c r="N827" s="18" t="str">
        <f t="shared" si="3"/>
        <v>Put Spread</v>
      </c>
      <c r="O827" s="18" t="str">
        <f t="shared" si="4"/>
        <v>Success</v>
      </c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</row>
    <row r="828">
      <c r="A828" s="13" t="s">
        <v>851</v>
      </c>
      <c r="B828" s="14" t="s">
        <v>18</v>
      </c>
      <c r="C828" s="15">
        <v>4.69</v>
      </c>
      <c r="D828" s="13" t="s">
        <v>19</v>
      </c>
      <c r="E828" s="15">
        <v>3.63</v>
      </c>
      <c r="F828" s="15">
        <v>3.0</v>
      </c>
      <c r="G828" s="15">
        <v>3.0</v>
      </c>
      <c r="H828" s="15">
        <v>0.0</v>
      </c>
      <c r="I828" s="16">
        <v>0.0</v>
      </c>
      <c r="J828" s="17">
        <f>IFERROR(__xludf.DUMMYFUNCTION("INDEX(GOOGLEFINANCE(A828, ""open"", $J$1, $J$1), 2, 2)"),4.17)</f>
        <v>4.17</v>
      </c>
      <c r="K828" s="17">
        <f>IFERROR(__xludf.DUMMYFUNCTION("INDEX(GOOGLEFINANCE(A828, ""close"", $K$1, $K$1), 2, 2)"),4.67)</f>
        <v>4.67</v>
      </c>
      <c r="L828" s="20">
        <f t="shared" si="1"/>
        <v>11.99040767</v>
      </c>
      <c r="M828" s="18">
        <f t="shared" si="2"/>
        <v>119.9040767</v>
      </c>
      <c r="N828" s="18" t="str">
        <f t="shared" si="3"/>
        <v>Put Spread</v>
      </c>
      <c r="O828" s="18" t="str">
        <f t="shared" si="4"/>
        <v>Success</v>
      </c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</row>
    <row r="829">
      <c r="A829" s="13" t="s">
        <v>852</v>
      </c>
      <c r="B829" s="26" t="s">
        <v>47</v>
      </c>
      <c r="C829" s="15">
        <v>6.83</v>
      </c>
      <c r="D829" s="13" t="s">
        <v>48</v>
      </c>
      <c r="E829" s="15">
        <v>7.89</v>
      </c>
      <c r="F829" s="15">
        <v>3.0</v>
      </c>
      <c r="G829" s="15">
        <v>2.0</v>
      </c>
      <c r="H829" s="15">
        <v>4.0</v>
      </c>
      <c r="I829" s="16">
        <v>1.46586566317466</v>
      </c>
      <c r="J829" s="17">
        <f>IFERROR(__xludf.DUMMYFUNCTION("INDEX(GOOGLEFINANCE(A829, ""open"", $J$1, $J$1), 2, 2)"),7.47)</f>
        <v>7.47</v>
      </c>
      <c r="K829" s="17">
        <f>IFERROR(__xludf.DUMMYFUNCTION("INDEX(GOOGLEFINANCE(A829, ""close"", $K$1, $K$1), 2, 2)"),6.57)</f>
        <v>6.57</v>
      </c>
      <c r="L829" s="20">
        <f t="shared" si="1"/>
        <v>12.04819277</v>
      </c>
      <c r="M829" s="18">
        <f t="shared" si="2"/>
        <v>120.4819277</v>
      </c>
      <c r="N829" s="18" t="str">
        <f t="shared" si="3"/>
        <v>Call Spread</v>
      </c>
      <c r="O829" s="18" t="str">
        <f t="shared" si="4"/>
        <v>Success</v>
      </c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</row>
    <row r="830">
      <c r="A830" s="13" t="s">
        <v>853</v>
      </c>
      <c r="B830" s="26" t="s">
        <v>47</v>
      </c>
      <c r="C830" s="15">
        <v>32.33</v>
      </c>
      <c r="D830" s="13" t="s">
        <v>48</v>
      </c>
      <c r="E830" s="15">
        <v>38.49</v>
      </c>
      <c r="F830" s="15">
        <v>1.0</v>
      </c>
      <c r="G830" s="15">
        <v>0.0</v>
      </c>
      <c r="H830" s="15">
        <v>0.0</v>
      </c>
      <c r="I830" s="16">
        <v>0.0</v>
      </c>
      <c r="J830" s="17">
        <f>IFERROR(__xludf.DUMMYFUNCTION("INDEX(GOOGLEFINANCE(A830, ""open"", $J$1, $J$1), 2, 2)"),35.79)</f>
        <v>35.79</v>
      </c>
      <c r="K830" s="17">
        <f>IFERROR(__xludf.DUMMYFUNCTION("INDEX(GOOGLEFINANCE(A830, ""close"", $K$1, $K$1), 2, 2)"),31.43)</f>
        <v>31.43</v>
      </c>
      <c r="L830" s="8">
        <f t="shared" si="1"/>
        <v>12.18217379</v>
      </c>
      <c r="M830" s="18">
        <f t="shared" si="2"/>
        <v>121.8217379</v>
      </c>
      <c r="N830" s="18" t="str">
        <f t="shared" si="3"/>
        <v>Call Spread</v>
      </c>
      <c r="O830" s="18" t="str">
        <f t="shared" si="4"/>
        <v>Success</v>
      </c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</row>
    <row r="831">
      <c r="A831" s="13" t="s">
        <v>854</v>
      </c>
      <c r="B831" s="26" t="s">
        <v>47</v>
      </c>
      <c r="C831" s="15">
        <v>4.66</v>
      </c>
      <c r="D831" s="13" t="s">
        <v>48</v>
      </c>
      <c r="E831" s="15">
        <v>5.74</v>
      </c>
      <c r="F831" s="15">
        <v>1.0</v>
      </c>
      <c r="G831" s="15">
        <v>3.0</v>
      </c>
      <c r="H831" s="15">
        <v>1.0</v>
      </c>
      <c r="I831" s="16">
        <v>0.0</v>
      </c>
      <c r="J831" s="17">
        <f>IFERROR(__xludf.DUMMYFUNCTION("INDEX(GOOGLEFINANCE(A831, ""open"", $J$1, $J$1), 2, 2)"),5.24)</f>
        <v>5.24</v>
      </c>
      <c r="K831" s="17">
        <f>IFERROR(__xludf.DUMMYFUNCTION("INDEX(GOOGLEFINANCE(A831, ""close"", $K$1, $K$1), 2, 2)"),4.6)</f>
        <v>4.6</v>
      </c>
      <c r="L831" s="8">
        <f t="shared" si="1"/>
        <v>12.21374046</v>
      </c>
      <c r="M831" s="18">
        <f t="shared" si="2"/>
        <v>122.1374046</v>
      </c>
      <c r="N831" s="18" t="str">
        <f t="shared" si="3"/>
        <v>Call Spread</v>
      </c>
      <c r="O831" s="18" t="str">
        <f t="shared" si="4"/>
        <v>Success</v>
      </c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</row>
    <row r="832">
      <c r="A832" s="13" t="s">
        <v>855</v>
      </c>
      <c r="B832" s="26" t="s">
        <v>47</v>
      </c>
      <c r="C832" s="15">
        <v>206.8</v>
      </c>
      <c r="D832" s="13" t="s">
        <v>48</v>
      </c>
      <c r="E832" s="15">
        <v>232.06</v>
      </c>
      <c r="F832" s="15">
        <v>1.0</v>
      </c>
      <c r="G832" s="15">
        <v>1.0</v>
      </c>
      <c r="H832" s="15">
        <v>1.0</v>
      </c>
      <c r="I832" s="16">
        <v>-0.7417504</v>
      </c>
      <c r="J832" s="17">
        <f>IFERROR(__xludf.DUMMYFUNCTION("INDEX(GOOGLEFINANCE(A832, ""open"", $J$1, $J$1), 2, 2)"),220.32)</f>
        <v>220.32</v>
      </c>
      <c r="K832" s="17">
        <f>IFERROR(__xludf.DUMMYFUNCTION("INDEX(GOOGLEFINANCE(A832, ""close"", $K$1, $K$1), 2, 2)"),193.33)</f>
        <v>193.33</v>
      </c>
      <c r="L832" s="20">
        <f t="shared" si="1"/>
        <v>12.25036311</v>
      </c>
      <c r="M832" s="18">
        <f t="shared" si="2"/>
        <v>122.5036311</v>
      </c>
      <c r="N832" s="18" t="str">
        <f t="shared" si="3"/>
        <v>Call Spread</v>
      </c>
      <c r="O832" s="18" t="str">
        <f t="shared" si="4"/>
        <v>Success</v>
      </c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</row>
    <row r="833">
      <c r="A833" s="13" t="s">
        <v>856</v>
      </c>
      <c r="B833" s="14" t="s">
        <v>18</v>
      </c>
      <c r="C833" s="15">
        <v>66.92</v>
      </c>
      <c r="D833" s="13" t="s">
        <v>19</v>
      </c>
      <c r="E833" s="15">
        <v>58.78</v>
      </c>
      <c r="F833" s="15">
        <v>5.0</v>
      </c>
      <c r="G833" s="15">
        <v>2.0</v>
      </c>
      <c r="H833" s="15">
        <v>2.0</v>
      </c>
      <c r="I833" s="16">
        <v>-1.5930717</v>
      </c>
      <c r="J833" s="17">
        <f>IFERROR(__xludf.DUMMYFUNCTION("INDEX(GOOGLEFINANCE(A833, ""open"", $J$1, $J$1), 2, 2)"),63.78)</f>
        <v>63.78</v>
      </c>
      <c r="K833" s="17">
        <f>IFERROR(__xludf.DUMMYFUNCTION("INDEX(GOOGLEFINANCE(A833, ""close"", $K$1, $K$1), 2, 2)"),72.41)</f>
        <v>72.41</v>
      </c>
      <c r="L833" s="8">
        <f t="shared" si="1"/>
        <v>13.53088743</v>
      </c>
      <c r="M833" s="18">
        <f t="shared" si="2"/>
        <v>135.3088743</v>
      </c>
      <c r="N833" s="18" t="str">
        <f t="shared" si="3"/>
        <v>Put Spread</v>
      </c>
      <c r="O833" s="18" t="str">
        <f t="shared" si="4"/>
        <v>Success</v>
      </c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</row>
    <row r="834">
      <c r="A834" s="13" t="s">
        <v>857</v>
      </c>
      <c r="B834" s="26" t="s">
        <v>47</v>
      </c>
      <c r="C834" s="15">
        <v>23.8</v>
      </c>
      <c r="D834" s="13" t="s">
        <v>48</v>
      </c>
      <c r="E834" s="15">
        <v>27.22</v>
      </c>
      <c r="F834" s="15">
        <v>0.0</v>
      </c>
      <c r="G834" s="15">
        <v>4.0</v>
      </c>
      <c r="H834" s="15">
        <v>0.0</v>
      </c>
      <c r="I834" s="16">
        <v>1.02965897738509</v>
      </c>
      <c r="J834" s="17">
        <f>IFERROR(__xludf.DUMMYFUNCTION("INDEX(GOOGLEFINANCE(A834, ""open"", $J$1, $J$1), 2, 2)"),25.33)</f>
        <v>25.33</v>
      </c>
      <c r="K834" s="17">
        <f>IFERROR(__xludf.DUMMYFUNCTION("INDEX(GOOGLEFINANCE(A834, ""close"", $K$1, $K$1), 2, 2)"),21.79)</f>
        <v>21.79</v>
      </c>
      <c r="L834" s="8">
        <f t="shared" si="1"/>
        <v>13.9755231</v>
      </c>
      <c r="M834" s="18">
        <f t="shared" si="2"/>
        <v>139.755231</v>
      </c>
      <c r="N834" s="18" t="str">
        <f t="shared" si="3"/>
        <v>Call Spread</v>
      </c>
      <c r="O834" s="18" t="str">
        <f t="shared" si="4"/>
        <v>Success</v>
      </c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</row>
    <row r="835">
      <c r="A835" s="13" t="s">
        <v>858</v>
      </c>
      <c r="B835" s="14" t="s">
        <v>18</v>
      </c>
      <c r="C835" s="15">
        <v>12.2</v>
      </c>
      <c r="D835" s="13" t="s">
        <v>19</v>
      </c>
      <c r="E835" s="15">
        <v>9.3</v>
      </c>
      <c r="F835" s="15">
        <v>5.0</v>
      </c>
      <c r="G835" s="15">
        <v>2.0</v>
      </c>
      <c r="H835" s="15">
        <v>5.0</v>
      </c>
      <c r="I835" s="16">
        <v>-0.62688</v>
      </c>
      <c r="J835" s="17">
        <f>IFERROR(__xludf.DUMMYFUNCTION("INDEX(GOOGLEFINANCE(A835, ""open"", $J$1, $J$1), 2, 2)"),10.98)</f>
        <v>10.98</v>
      </c>
      <c r="K835" s="17">
        <f>IFERROR(__xludf.DUMMYFUNCTION("INDEX(GOOGLEFINANCE(A835, ""close"", $K$1, $K$1), 2, 2)"),12.52)</f>
        <v>12.52</v>
      </c>
      <c r="L835" s="8">
        <f t="shared" si="1"/>
        <v>14.02550091</v>
      </c>
      <c r="M835" s="18">
        <f t="shared" si="2"/>
        <v>140.2550091</v>
      </c>
      <c r="N835" s="18" t="str">
        <f t="shared" si="3"/>
        <v>Put Spread</v>
      </c>
      <c r="O835" s="18" t="str">
        <f t="shared" si="4"/>
        <v>Success</v>
      </c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</row>
    <row r="836">
      <c r="A836" s="13" t="s">
        <v>859</v>
      </c>
      <c r="B836" s="26" t="s">
        <v>47</v>
      </c>
      <c r="C836" s="15">
        <v>295.62</v>
      </c>
      <c r="D836" s="13" t="s">
        <v>48</v>
      </c>
      <c r="E836" s="15">
        <v>323.88</v>
      </c>
      <c r="F836" s="15">
        <v>1.0</v>
      </c>
      <c r="G836" s="15">
        <v>1.0</v>
      </c>
      <c r="H836" s="15">
        <v>1.0</v>
      </c>
      <c r="I836" s="16">
        <v>0.82212083</v>
      </c>
      <c r="J836" s="17">
        <f>IFERROR(__xludf.DUMMYFUNCTION("INDEX(GOOGLEFINANCE(A836, ""open"", $J$1, $J$1), 2, 2)"),309.01)</f>
        <v>309.01</v>
      </c>
      <c r="K836" s="17">
        <f>IFERROR(__xludf.DUMMYFUNCTION("INDEX(GOOGLEFINANCE(A836, ""close"", $K$1, $K$1), 2, 2)"),264.69)</f>
        <v>264.69</v>
      </c>
      <c r="L836" s="8">
        <f t="shared" si="1"/>
        <v>14.34257791</v>
      </c>
      <c r="M836" s="18">
        <f t="shared" si="2"/>
        <v>143.4257791</v>
      </c>
      <c r="N836" s="18" t="str">
        <f t="shared" si="3"/>
        <v>Call Spread</v>
      </c>
      <c r="O836" s="18" t="str">
        <f t="shared" si="4"/>
        <v>Success</v>
      </c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</row>
    <row r="837">
      <c r="A837" s="13" t="s">
        <v>860</v>
      </c>
      <c r="B837" s="26" t="s">
        <v>47</v>
      </c>
      <c r="C837" s="15">
        <v>3.25</v>
      </c>
      <c r="D837" s="13" t="s">
        <v>48</v>
      </c>
      <c r="E837" s="15">
        <v>3.67</v>
      </c>
      <c r="F837" s="15">
        <v>0.0</v>
      </c>
      <c r="G837" s="15">
        <v>3.0</v>
      </c>
      <c r="H837" s="15">
        <v>3.0</v>
      </c>
      <c r="I837" s="16">
        <v>-1.407655</v>
      </c>
      <c r="J837" s="17">
        <f>IFERROR(__xludf.DUMMYFUNCTION("INDEX(GOOGLEFINANCE(A837, ""open"", $J$1, $J$1), 2, 2)"),3.47)</f>
        <v>3.47</v>
      </c>
      <c r="K837" s="17">
        <f>IFERROR(__xludf.DUMMYFUNCTION("INDEX(GOOGLEFINANCE(A837, ""close"", $K$1, $K$1), 2, 2)"),2.97)</f>
        <v>2.97</v>
      </c>
      <c r="L837" s="8">
        <f t="shared" si="1"/>
        <v>14.4092219</v>
      </c>
      <c r="M837" s="18">
        <f t="shared" si="2"/>
        <v>144.092219</v>
      </c>
      <c r="N837" s="18" t="str">
        <f t="shared" si="3"/>
        <v>Call Spread</v>
      </c>
      <c r="O837" s="18" t="str">
        <f t="shared" si="4"/>
        <v>Success</v>
      </c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</row>
    <row r="838">
      <c r="A838" s="13" t="s">
        <v>861</v>
      </c>
      <c r="B838" s="14" t="s">
        <v>18</v>
      </c>
      <c r="C838" s="15">
        <v>185.76</v>
      </c>
      <c r="D838" s="13" t="s">
        <v>19</v>
      </c>
      <c r="E838" s="15">
        <v>154.68</v>
      </c>
      <c r="F838" s="15">
        <v>3.0</v>
      </c>
      <c r="G838" s="15">
        <v>2.0</v>
      </c>
      <c r="H838" s="15">
        <v>4.0</v>
      </c>
      <c r="I838" s="16">
        <v>3.37147078649597</v>
      </c>
      <c r="J838" s="17">
        <f>IFERROR(__xludf.DUMMYFUNCTION("INDEX(GOOGLEFINANCE(A838, ""open"", $J$1, $J$1), 2, 2)"),169.9)</f>
        <v>169.9</v>
      </c>
      <c r="K838" s="17">
        <f>IFERROR(__xludf.DUMMYFUNCTION("INDEX(GOOGLEFINANCE(A838, ""close"", $K$1, $K$1), 2, 2)"),194.74)</f>
        <v>194.74</v>
      </c>
      <c r="L838" s="8">
        <f t="shared" si="1"/>
        <v>14.62036492</v>
      </c>
      <c r="M838" s="18">
        <f t="shared" si="2"/>
        <v>146.2036492</v>
      </c>
      <c r="N838" s="18" t="str">
        <f t="shared" si="3"/>
        <v>Put Spread</v>
      </c>
      <c r="O838" s="18" t="str">
        <f t="shared" si="4"/>
        <v>Success</v>
      </c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</row>
    <row r="839">
      <c r="A839" s="13" t="s">
        <v>862</v>
      </c>
      <c r="B839" s="14" t="s">
        <v>18</v>
      </c>
      <c r="C839" s="15">
        <v>11.97</v>
      </c>
      <c r="D839" s="13" t="s">
        <v>19</v>
      </c>
      <c r="E839" s="15">
        <v>9.11</v>
      </c>
      <c r="F839" s="15">
        <v>3.0</v>
      </c>
      <c r="G839" s="15">
        <v>2.0</v>
      </c>
      <c r="H839" s="15">
        <v>1.0</v>
      </c>
      <c r="I839" s="16">
        <v>0.0</v>
      </c>
      <c r="J839" s="17">
        <f>IFERROR(__xludf.DUMMYFUNCTION("INDEX(GOOGLEFINANCE(A839, ""open"", $J$1, $J$1), 2, 2)"),10.4)</f>
        <v>10.4</v>
      </c>
      <c r="K839" s="17">
        <f>IFERROR(__xludf.DUMMYFUNCTION("INDEX(GOOGLEFINANCE(A839, ""close"", $K$1, $K$1), 2, 2)"),11.98)</f>
        <v>11.98</v>
      </c>
      <c r="L839" s="8">
        <f t="shared" si="1"/>
        <v>15.19230769</v>
      </c>
      <c r="M839" s="18">
        <f t="shared" si="2"/>
        <v>151.9230769</v>
      </c>
      <c r="N839" s="18" t="str">
        <f t="shared" si="3"/>
        <v>Put Spread</v>
      </c>
      <c r="O839" s="18" t="str">
        <f t="shared" si="4"/>
        <v>Success</v>
      </c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</row>
    <row r="840">
      <c r="A840" s="13" t="s">
        <v>863</v>
      </c>
      <c r="B840" s="14" t="s">
        <v>18</v>
      </c>
      <c r="C840" s="15">
        <v>18.62</v>
      </c>
      <c r="D840" s="13" t="s">
        <v>19</v>
      </c>
      <c r="E840" s="15">
        <v>12.24</v>
      </c>
      <c r="F840" s="15">
        <v>3.0</v>
      </c>
      <c r="G840" s="15">
        <v>2.0</v>
      </c>
      <c r="H840" s="15">
        <v>0.0</v>
      </c>
      <c r="I840" s="16">
        <v>0.0</v>
      </c>
      <c r="J840" s="17">
        <f>IFERROR(__xludf.DUMMYFUNCTION("INDEX(GOOGLEFINANCE(A840, ""open"", $J$1, $J$1), 2, 2)"),14.93)</f>
        <v>14.93</v>
      </c>
      <c r="K840" s="17">
        <f>IFERROR(__xludf.DUMMYFUNCTION("INDEX(GOOGLEFINANCE(A840, ""close"", $K$1, $K$1), 2, 2)"),17.39)</f>
        <v>17.39</v>
      </c>
      <c r="L840" s="8">
        <f t="shared" si="1"/>
        <v>16.47689216</v>
      </c>
      <c r="M840" s="18">
        <f t="shared" si="2"/>
        <v>164.7689216</v>
      </c>
      <c r="N840" s="18" t="str">
        <f t="shared" si="3"/>
        <v>Put Spread</v>
      </c>
      <c r="O840" s="18" t="str">
        <f t="shared" si="4"/>
        <v>Success</v>
      </c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</row>
    <row r="841">
      <c r="A841" s="13" t="s">
        <v>864</v>
      </c>
      <c r="B841" s="26" t="s">
        <v>47</v>
      </c>
      <c r="C841" s="15">
        <v>8.54</v>
      </c>
      <c r="D841" s="13" t="s">
        <v>48</v>
      </c>
      <c r="E841" s="15">
        <v>9.44</v>
      </c>
      <c r="F841" s="15">
        <v>0.0</v>
      </c>
      <c r="G841" s="15">
        <v>2.0</v>
      </c>
      <c r="H841" s="15">
        <v>1.0</v>
      </c>
      <c r="I841" s="16">
        <v>-1.430445</v>
      </c>
      <c r="J841" s="17">
        <f>IFERROR(__xludf.DUMMYFUNCTION("INDEX(GOOGLEFINANCE(A841, ""open"", $J$1, $J$1), 2, 2)"),9.05)</f>
        <v>9.05</v>
      </c>
      <c r="K841" s="17">
        <f>IFERROR(__xludf.DUMMYFUNCTION("INDEX(GOOGLEFINANCE(A841, ""close"", $K$1, $K$1), 2, 2)"),7.3)</f>
        <v>7.3</v>
      </c>
      <c r="L841" s="8">
        <f t="shared" si="1"/>
        <v>19.33701657</v>
      </c>
      <c r="M841" s="18">
        <f t="shared" si="2"/>
        <v>193.3701657</v>
      </c>
      <c r="N841" s="18" t="str">
        <f t="shared" si="3"/>
        <v>Call Spread</v>
      </c>
      <c r="O841" s="18" t="str">
        <f t="shared" si="4"/>
        <v>Success</v>
      </c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</row>
    <row r="842">
      <c r="A842" s="13" t="s">
        <v>865</v>
      </c>
      <c r="B842" s="14" t="s">
        <v>18</v>
      </c>
      <c r="C842" s="15">
        <v>50.92</v>
      </c>
      <c r="D842" s="13" t="s">
        <v>19</v>
      </c>
      <c r="E842" s="15">
        <v>44.76</v>
      </c>
      <c r="F842" s="15">
        <v>4.0</v>
      </c>
      <c r="G842" s="15">
        <v>4.0</v>
      </c>
      <c r="H842" s="15">
        <v>2.0</v>
      </c>
      <c r="I842" s="16">
        <v>-1.6416199</v>
      </c>
      <c r="J842" s="17">
        <f>IFERROR(__xludf.DUMMYFUNCTION("INDEX(GOOGLEFINANCE(A842, ""open"", $J$1, $J$1), 2, 2)"),47.5)</f>
        <v>47.5</v>
      </c>
      <c r="K842" s="17">
        <f>IFERROR(__xludf.DUMMYFUNCTION("INDEX(GOOGLEFINANCE(A842, ""close"", $K$1, $K$1), 2, 2)"),56.84)</f>
        <v>56.84</v>
      </c>
      <c r="L842" s="20">
        <f t="shared" si="1"/>
        <v>19.66315789</v>
      </c>
      <c r="M842" s="18">
        <f t="shared" si="2"/>
        <v>196.6315789</v>
      </c>
      <c r="N842" s="18" t="str">
        <f t="shared" si="3"/>
        <v>Put Spread</v>
      </c>
      <c r="O842" s="18" t="str">
        <f t="shared" si="4"/>
        <v>Success</v>
      </c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</row>
    <row r="843">
      <c r="A843" s="13" t="s">
        <v>866</v>
      </c>
      <c r="B843" s="14" t="s">
        <v>18</v>
      </c>
      <c r="C843" s="15">
        <v>324.28</v>
      </c>
      <c r="D843" s="13" t="s">
        <v>19</v>
      </c>
      <c r="E843" s="15">
        <v>279.74</v>
      </c>
      <c r="F843" s="15">
        <v>2.0</v>
      </c>
      <c r="G843" s="15">
        <v>3.0</v>
      </c>
      <c r="H843" s="15">
        <v>2.0</v>
      </c>
      <c r="I843" s="16">
        <v>0.0</v>
      </c>
      <c r="J843" s="17">
        <f>IFERROR(__xludf.DUMMYFUNCTION("INDEX(GOOGLEFINANCE(A843, ""open"", $J$1, $J$1), 2, 2)"),302.1)</f>
        <v>302.1</v>
      </c>
      <c r="K843" s="17">
        <f>IFERROR(__xludf.DUMMYFUNCTION("INDEX(GOOGLEFINANCE(A843, ""close"", $K$1, $K$1), 2, 2)"),362.45)</f>
        <v>362.45</v>
      </c>
      <c r="L843" s="8">
        <f t="shared" si="1"/>
        <v>19.97682886</v>
      </c>
      <c r="M843" s="18">
        <f t="shared" si="2"/>
        <v>199.7682886</v>
      </c>
      <c r="N843" s="18" t="str">
        <f t="shared" si="3"/>
        <v>Put Spread</v>
      </c>
      <c r="O843" s="18" t="str">
        <f t="shared" si="4"/>
        <v>Success</v>
      </c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</row>
    <row r="844">
      <c r="A844" s="13" t="s">
        <v>867</v>
      </c>
      <c r="B844" s="26" t="s">
        <v>47</v>
      </c>
      <c r="C844" s="15">
        <v>89.53</v>
      </c>
      <c r="D844" s="13" t="s">
        <v>48</v>
      </c>
      <c r="E844" s="15">
        <v>100.45</v>
      </c>
      <c r="F844" s="15">
        <v>0.0</v>
      </c>
      <c r="G844" s="15">
        <v>3.0</v>
      </c>
      <c r="H844" s="15">
        <v>5.0</v>
      </c>
      <c r="I844" s="16">
        <v>0.0</v>
      </c>
      <c r="J844" s="17">
        <f>IFERROR(__xludf.DUMMYFUNCTION("INDEX(GOOGLEFINANCE(A844, ""open"", $J$1, $J$1), 2, 2)"),96.0)</f>
        <v>96</v>
      </c>
      <c r="K844" s="17">
        <f>IFERROR(__xludf.DUMMYFUNCTION("INDEX(GOOGLEFINANCE(A844, ""close"", $K$1, $K$1), 2, 2)"),76.72)</f>
        <v>76.72</v>
      </c>
      <c r="L844" s="20">
        <f t="shared" si="1"/>
        <v>20.08333333</v>
      </c>
      <c r="M844" s="18">
        <f t="shared" si="2"/>
        <v>200.8333333</v>
      </c>
      <c r="N844" s="18" t="str">
        <f t="shared" si="3"/>
        <v>Call Spread</v>
      </c>
      <c r="O844" s="18" t="str">
        <f t="shared" si="4"/>
        <v>Success</v>
      </c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</row>
    <row r="845">
      <c r="A845" s="13" t="s">
        <v>868</v>
      </c>
      <c r="B845" s="26" t="s">
        <v>47</v>
      </c>
      <c r="C845" s="15">
        <v>2.36</v>
      </c>
      <c r="D845" s="13" t="s">
        <v>48</v>
      </c>
      <c r="E845" s="15">
        <v>4.92</v>
      </c>
      <c r="F845" s="15">
        <v>3.0</v>
      </c>
      <c r="G845" s="15">
        <v>4.0</v>
      </c>
      <c r="H845" s="15">
        <v>4.0</v>
      </c>
      <c r="I845" s="16">
        <v>0.0</v>
      </c>
      <c r="J845" s="17">
        <f>IFERROR(__xludf.DUMMYFUNCTION("INDEX(GOOGLEFINANCE(A845, ""open"", $J$1, $J$1), 2, 2)"),3.65)</f>
        <v>3.65</v>
      </c>
      <c r="K845" s="17">
        <f>IFERROR(__xludf.DUMMYFUNCTION("INDEX(GOOGLEFINANCE(A845, ""close"", $K$1, $K$1), 2, 2)"),2.87)</f>
        <v>2.87</v>
      </c>
      <c r="L845" s="8">
        <f t="shared" si="1"/>
        <v>21.36986301</v>
      </c>
      <c r="M845" s="18">
        <f t="shared" si="2"/>
        <v>213.6986301</v>
      </c>
      <c r="N845" s="18" t="str">
        <f t="shared" si="3"/>
        <v>Call Spread</v>
      </c>
      <c r="O845" s="18" t="str">
        <f t="shared" si="4"/>
        <v>Success</v>
      </c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</row>
    <row r="846">
      <c r="A846" s="13" t="s">
        <v>869</v>
      </c>
      <c r="B846" s="14" t="s">
        <v>18</v>
      </c>
      <c r="C846" s="15">
        <v>47.64</v>
      </c>
      <c r="D846" s="13" t="s">
        <v>19</v>
      </c>
      <c r="E846" s="15">
        <v>38.76</v>
      </c>
      <c r="F846" s="15">
        <v>4.0</v>
      </c>
      <c r="G846" s="15">
        <v>2.0</v>
      </c>
      <c r="H846" s="15">
        <v>4.0</v>
      </c>
      <c r="I846" s="16">
        <v>1.35065870420944</v>
      </c>
      <c r="J846" s="17">
        <f>IFERROR(__xludf.DUMMYFUNCTION("INDEX(GOOGLEFINANCE(A846, ""open"", $J$1, $J$1), 2, 2)"),44.17)</f>
        <v>44.17</v>
      </c>
      <c r="K846" s="17">
        <f>IFERROR(__xludf.DUMMYFUNCTION("INDEX(GOOGLEFINANCE(A846, ""close"", $K$1, $K$1), 2, 2)"),53.75)</f>
        <v>53.75</v>
      </c>
      <c r="L846" s="8">
        <f t="shared" si="1"/>
        <v>21.68892914</v>
      </c>
      <c r="M846" s="18">
        <f t="shared" si="2"/>
        <v>216.8892914</v>
      </c>
      <c r="N846" s="18" t="str">
        <f t="shared" si="3"/>
        <v>Put Spread</v>
      </c>
      <c r="O846" s="18" t="str">
        <f t="shared" si="4"/>
        <v>Success</v>
      </c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</row>
    <row r="847">
      <c r="A847" s="13" t="s">
        <v>870</v>
      </c>
      <c r="B847" s="14" t="s">
        <v>18</v>
      </c>
      <c r="C847" s="15">
        <v>20.36</v>
      </c>
      <c r="D847" s="13" t="s">
        <v>19</v>
      </c>
      <c r="E847" s="15">
        <v>14.0</v>
      </c>
      <c r="F847" s="15">
        <v>3.0</v>
      </c>
      <c r="G847" s="15">
        <v>1.0</v>
      </c>
      <c r="H847" s="15">
        <v>2.0</v>
      </c>
      <c r="I847" s="16">
        <v>0.0</v>
      </c>
      <c r="J847" s="17">
        <f>IFERROR(__xludf.DUMMYFUNCTION("INDEX(GOOGLEFINANCE(A847, ""open"", $J$1, $J$1), 2, 2)"),16.45)</f>
        <v>16.45</v>
      </c>
      <c r="K847" s="17">
        <f>IFERROR(__xludf.DUMMYFUNCTION("INDEX(GOOGLEFINANCE(A847, ""close"", $K$1, $K$1), 2, 2)"),20.08)</f>
        <v>20.08</v>
      </c>
      <c r="L847" s="20">
        <f t="shared" si="1"/>
        <v>22.0668693</v>
      </c>
      <c r="M847" s="18">
        <f t="shared" si="2"/>
        <v>220.668693</v>
      </c>
      <c r="N847" s="18" t="str">
        <f t="shared" si="3"/>
        <v>Put Spread</v>
      </c>
      <c r="O847" s="18" t="str">
        <f t="shared" si="4"/>
        <v>Success</v>
      </c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</row>
    <row r="848">
      <c r="A848" s="13" t="s">
        <v>871</v>
      </c>
      <c r="B848" s="14" t="s">
        <v>18</v>
      </c>
      <c r="C848" s="15">
        <v>165.69</v>
      </c>
      <c r="D848" s="13" t="s">
        <v>19</v>
      </c>
      <c r="E848" s="15">
        <v>148.23</v>
      </c>
      <c r="F848" s="15">
        <v>4.0</v>
      </c>
      <c r="G848" s="15">
        <v>3.0</v>
      </c>
      <c r="H848" s="15">
        <v>3.0</v>
      </c>
      <c r="I848" s="16">
        <v>0.398401781180691</v>
      </c>
      <c r="J848" s="17">
        <f>IFERROR(__xludf.DUMMYFUNCTION("INDEX(GOOGLEFINANCE(A848, ""open"", $J$1, $J$1), 2, 2)"),156.97)</f>
        <v>156.97</v>
      </c>
      <c r="K848" s="17">
        <f>IFERROR(__xludf.DUMMYFUNCTION("INDEX(GOOGLEFINANCE(A848, ""close"", $K$1, $K$1), 2, 2)"),193.63)</f>
        <v>193.63</v>
      </c>
      <c r="L848" s="8">
        <f t="shared" si="1"/>
        <v>23.35478117</v>
      </c>
      <c r="M848" s="18">
        <f t="shared" si="2"/>
        <v>233.5478117</v>
      </c>
      <c r="N848" s="18" t="str">
        <f t="shared" si="3"/>
        <v>Put Spread</v>
      </c>
      <c r="O848" s="18" t="str">
        <f t="shared" si="4"/>
        <v>Success</v>
      </c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</row>
    <row r="849">
      <c r="A849" s="13" t="s">
        <v>872</v>
      </c>
      <c r="B849" s="14" t="s">
        <v>18</v>
      </c>
      <c r="C849" s="15">
        <v>165.51</v>
      </c>
      <c r="D849" s="13" t="s">
        <v>19</v>
      </c>
      <c r="E849" s="15">
        <v>133.81</v>
      </c>
      <c r="F849" s="15">
        <v>3.0</v>
      </c>
      <c r="G849" s="15">
        <v>2.0</v>
      </c>
      <c r="H849" s="15">
        <v>3.0</v>
      </c>
      <c r="I849" s="16">
        <v>0.0</v>
      </c>
      <c r="J849" s="17">
        <f>IFERROR(__xludf.DUMMYFUNCTION("INDEX(GOOGLEFINANCE(A849, ""open"", $J$1, $J$1), 2, 2)"),150.84)</f>
        <v>150.84</v>
      </c>
      <c r="K849" s="17">
        <f>IFERROR(__xludf.DUMMYFUNCTION("INDEX(GOOGLEFINANCE(A849, ""close"", $K$1, $K$1), 2, 2)"),188.64)</f>
        <v>188.64</v>
      </c>
      <c r="L849" s="20">
        <f t="shared" si="1"/>
        <v>25.05966587</v>
      </c>
      <c r="M849" s="18">
        <f t="shared" si="2"/>
        <v>250.5966587</v>
      </c>
      <c r="N849" s="18" t="str">
        <f t="shared" si="3"/>
        <v>Put Spread</v>
      </c>
      <c r="O849" s="18" t="str">
        <f t="shared" si="4"/>
        <v>Success</v>
      </c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</row>
    <row r="850">
      <c r="A850" s="13" t="s">
        <v>873</v>
      </c>
      <c r="B850" s="26" t="s">
        <v>47</v>
      </c>
      <c r="C850" s="15">
        <v>2.92</v>
      </c>
      <c r="D850" s="13" t="s">
        <v>48</v>
      </c>
      <c r="E850" s="15">
        <v>4.63</v>
      </c>
      <c r="F850" s="15">
        <v>1.0</v>
      </c>
      <c r="G850" s="15">
        <v>3.0</v>
      </c>
      <c r="H850" s="15">
        <v>2.0</v>
      </c>
      <c r="I850" s="16">
        <v>0.0</v>
      </c>
      <c r="J850" s="17">
        <f>IFERROR(__xludf.DUMMYFUNCTION("INDEX(GOOGLEFINANCE(A850, ""open"", $J$1, $J$1), 2, 2)"),3.98)</f>
        <v>3.98</v>
      </c>
      <c r="K850" s="17">
        <f>IFERROR(__xludf.DUMMYFUNCTION("INDEX(GOOGLEFINANCE(A850, ""close"", $K$1, $K$1), 2, 2)"),2.82)</f>
        <v>2.82</v>
      </c>
      <c r="L850" s="8">
        <f t="shared" si="1"/>
        <v>29.14572864</v>
      </c>
      <c r="M850" s="18">
        <f t="shared" si="2"/>
        <v>291.4572864</v>
      </c>
      <c r="N850" s="18" t="str">
        <f t="shared" si="3"/>
        <v>Call Spread</v>
      </c>
      <c r="O850" s="18" t="str">
        <f t="shared" si="4"/>
        <v>Success</v>
      </c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</row>
    <row r="851">
      <c r="A851" s="13" t="s">
        <v>874</v>
      </c>
      <c r="B851" s="14" t="s">
        <v>18</v>
      </c>
      <c r="C851" s="15">
        <v>1.39</v>
      </c>
      <c r="D851" s="13" t="s">
        <v>19</v>
      </c>
      <c r="E851" s="15">
        <v>0.11</v>
      </c>
      <c r="F851" s="15">
        <v>5.0</v>
      </c>
      <c r="G851" s="15">
        <v>4.0</v>
      </c>
      <c r="H851" s="15">
        <v>4.0</v>
      </c>
      <c r="I851" s="16">
        <v>0.0</v>
      </c>
      <c r="J851" s="17">
        <f>IFERROR(__xludf.DUMMYFUNCTION("INDEX(GOOGLEFINANCE(A851, ""open"", $J$1, $J$1), 2, 2)"),0.77)</f>
        <v>0.77</v>
      </c>
      <c r="K851" s="17">
        <f>IFERROR(__xludf.DUMMYFUNCTION("INDEX(GOOGLEFINANCE(A851, ""close"", $K$1, $K$1), 2, 2)"),1.01)</f>
        <v>1.01</v>
      </c>
      <c r="L851" s="8">
        <f t="shared" si="1"/>
        <v>31.16883117</v>
      </c>
      <c r="M851" s="18">
        <f t="shared" si="2"/>
        <v>311.6883117</v>
      </c>
      <c r="N851" s="18" t="str">
        <f t="shared" si="3"/>
        <v>Put Spread</v>
      </c>
      <c r="O851" s="18" t="str">
        <f t="shared" si="4"/>
        <v>Success</v>
      </c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</row>
    <row r="852">
      <c r="A852" s="13" t="s">
        <v>875</v>
      </c>
      <c r="B852" s="14" t="s">
        <v>18</v>
      </c>
      <c r="C852" s="15">
        <v>18.77</v>
      </c>
      <c r="D852" s="13" t="s">
        <v>19</v>
      </c>
      <c r="E852" s="15">
        <v>11.09</v>
      </c>
      <c r="F852" s="15">
        <v>4.0</v>
      </c>
      <c r="G852" s="15">
        <v>3.0</v>
      </c>
      <c r="H852" s="15">
        <v>0.0</v>
      </c>
      <c r="I852" s="16">
        <v>3.37347521752704</v>
      </c>
      <c r="J852" s="17">
        <f>IFERROR(__xludf.DUMMYFUNCTION("INDEX(GOOGLEFINANCE(A852, ""open"", $J$1, $J$1), 2, 2)"),15.15)</f>
        <v>15.15</v>
      </c>
      <c r="K852" s="17">
        <f>IFERROR(__xludf.DUMMYFUNCTION("INDEX(GOOGLEFINANCE(A852, ""close"", $K$1, $K$1), 2, 2)"),20.38)</f>
        <v>20.38</v>
      </c>
      <c r="L852" s="8">
        <f t="shared" si="1"/>
        <v>34.52145215</v>
      </c>
      <c r="M852" s="18">
        <f t="shared" si="2"/>
        <v>345.2145215</v>
      </c>
      <c r="N852" s="18" t="str">
        <f t="shared" si="3"/>
        <v>Put Spread</v>
      </c>
      <c r="O852" s="18" t="str">
        <f t="shared" si="4"/>
        <v>Success</v>
      </c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</row>
    <row r="853">
      <c r="A853" s="13" t="s">
        <v>876</v>
      </c>
      <c r="B853" s="14" t="s">
        <v>18</v>
      </c>
      <c r="C853" s="15">
        <v>236.17</v>
      </c>
      <c r="D853" s="13" t="s">
        <v>19</v>
      </c>
      <c r="E853" s="15">
        <v>223.17</v>
      </c>
      <c r="F853" s="15">
        <v>5.0</v>
      </c>
      <c r="G853" s="15">
        <v>3.0</v>
      </c>
      <c r="H853" s="15">
        <v>5.0</v>
      </c>
      <c r="I853" s="16">
        <v>-3.155868</v>
      </c>
      <c r="J853" s="17">
        <f>IFERROR(__xludf.DUMMYFUNCTION("INDEX(GOOGLEFINANCE(A853, ""open"", $J$1, $J$1), 2, 2)"),229.0)</f>
        <v>229</v>
      </c>
      <c r="K853" s="17">
        <f>IFERROR(__xludf.DUMMYFUNCTION("INDEX(GOOGLEFINANCE(A853, ""close"", $K$1, $K$1), 2, 2)"),228.88)</f>
        <v>228.88</v>
      </c>
      <c r="L853" s="8">
        <f t="shared" si="1"/>
        <v>-0.05240174672</v>
      </c>
      <c r="M853" s="18">
        <f t="shared" si="2"/>
        <v>-0.5240174672</v>
      </c>
      <c r="N853" s="18" t="str">
        <f t="shared" si="3"/>
        <v>Put Spread</v>
      </c>
      <c r="O853" s="18" t="str">
        <f t="shared" si="4"/>
        <v>Success</v>
      </c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</row>
    <row r="854">
      <c r="A854" s="13" t="s">
        <v>877</v>
      </c>
      <c r="B854" s="14" t="s">
        <v>18</v>
      </c>
      <c r="C854" s="15">
        <v>60.09</v>
      </c>
      <c r="D854" s="13" t="s">
        <v>19</v>
      </c>
      <c r="E854" s="15">
        <v>55.55</v>
      </c>
      <c r="F854" s="15">
        <v>3.0</v>
      </c>
      <c r="G854" s="15">
        <v>3.0</v>
      </c>
      <c r="H854" s="15">
        <v>1.0</v>
      </c>
      <c r="I854" s="16">
        <v>0.0</v>
      </c>
      <c r="J854" s="17">
        <f>IFERROR(__xludf.DUMMYFUNCTION("INDEX(GOOGLEFINANCE(A854, ""open"", $J$1, $J$1), 2, 2)"),58.14)</f>
        <v>58.14</v>
      </c>
      <c r="K854" s="17">
        <f>IFERROR(__xludf.DUMMYFUNCTION("INDEX(GOOGLEFINANCE(A854, ""close"", $K$1, $K$1), 2, 2)"),60.27)</f>
        <v>60.27</v>
      </c>
      <c r="L854" s="8">
        <f t="shared" si="1"/>
        <v>3.663570691</v>
      </c>
      <c r="M854" s="18">
        <f t="shared" si="2"/>
        <v>36.63570691</v>
      </c>
      <c r="N854" s="18" t="str">
        <f t="shared" si="3"/>
        <v>Put Spread</v>
      </c>
      <c r="O854" s="18" t="str">
        <f t="shared" si="4"/>
        <v>Success</v>
      </c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</row>
    <row r="855">
      <c r="A855" s="13" t="s">
        <v>878</v>
      </c>
      <c r="B855" s="14" t="s">
        <v>18</v>
      </c>
      <c r="C855" s="15">
        <v>100.74</v>
      </c>
      <c r="D855" s="13" t="s">
        <v>19</v>
      </c>
      <c r="E855" s="15">
        <v>94.2</v>
      </c>
      <c r="F855" s="15">
        <v>4.0</v>
      </c>
      <c r="G855" s="15">
        <v>3.0</v>
      </c>
      <c r="H855" s="15">
        <v>5.0</v>
      </c>
      <c r="I855" s="16">
        <v>-0.3826775</v>
      </c>
      <c r="J855" s="17">
        <f>IFERROR(__xludf.DUMMYFUNCTION("INDEX(GOOGLEFINANCE(A855, ""open"", $J$1, $J$1), 2, 2)"),97.28)</f>
        <v>97.28</v>
      </c>
      <c r="K855" s="17">
        <f>IFERROR(__xludf.DUMMYFUNCTION("INDEX(GOOGLEFINANCE(A855, ""close"", $K$1, $K$1), 2, 2)"),98.49)</f>
        <v>98.49</v>
      </c>
      <c r="L855" s="8">
        <f t="shared" si="1"/>
        <v>1.243832237</v>
      </c>
      <c r="M855" s="18">
        <f t="shared" si="2"/>
        <v>12.43832237</v>
      </c>
      <c r="N855" s="18" t="str">
        <f t="shared" si="3"/>
        <v>Put Spread</v>
      </c>
      <c r="O855" s="18" t="str">
        <f t="shared" si="4"/>
        <v>Success</v>
      </c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</row>
    <row r="856">
      <c r="A856" s="13" t="s">
        <v>879</v>
      </c>
      <c r="B856" s="26" t="s">
        <v>47</v>
      </c>
      <c r="C856" s="15">
        <v>1.15</v>
      </c>
      <c r="D856" s="13" t="s">
        <v>48</v>
      </c>
      <c r="E856" s="15">
        <v>2.13</v>
      </c>
      <c r="F856" s="15">
        <v>3.0</v>
      </c>
      <c r="G856" s="15">
        <v>2.0</v>
      </c>
      <c r="H856" s="15">
        <v>3.0</v>
      </c>
      <c r="I856" s="16">
        <v>0.0</v>
      </c>
      <c r="J856" s="17">
        <f>IFERROR(__xludf.DUMMYFUNCTION("INDEX(GOOGLEFINANCE(A856, ""open"", $J$1, $J$1), 2, 2)"),1.65)</f>
        <v>1.65</v>
      </c>
      <c r="K856" s="17">
        <f>IFERROR(__xludf.DUMMYFUNCTION("INDEX(GOOGLEFINANCE(A856, ""close"", $K$1, $K$1), 2, 2)"),1.52)</f>
        <v>1.52</v>
      </c>
      <c r="L856" s="8">
        <f t="shared" si="1"/>
        <v>7.878787879</v>
      </c>
      <c r="M856" s="18">
        <f t="shared" si="2"/>
        <v>78.78787879</v>
      </c>
      <c r="N856" s="18" t="str">
        <f t="shared" si="3"/>
        <v>Call Spread</v>
      </c>
      <c r="O856" s="18" t="str">
        <f t="shared" si="4"/>
        <v>Success</v>
      </c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</row>
    <row r="857">
      <c r="A857" s="13" t="s">
        <v>880</v>
      </c>
      <c r="B857" s="14" t="s">
        <v>18</v>
      </c>
      <c r="C857" s="15">
        <v>97.78</v>
      </c>
      <c r="D857" s="13" t="s">
        <v>19</v>
      </c>
      <c r="E857" s="15">
        <v>90.18</v>
      </c>
      <c r="F857" s="15">
        <v>2.0</v>
      </c>
      <c r="G857" s="15">
        <v>1.0</v>
      </c>
      <c r="H857" s="15">
        <v>5.0</v>
      </c>
      <c r="I857" s="16">
        <v>1.17677291994482</v>
      </c>
      <c r="J857" s="17">
        <f>IFERROR(__xludf.DUMMYFUNCTION("INDEX(GOOGLEFINANCE(A857, ""open"", $J$1, $J$1), 2, 2)"),93.31)</f>
        <v>93.31</v>
      </c>
      <c r="K857" s="17">
        <f>IFERROR(__xludf.DUMMYFUNCTION("INDEX(GOOGLEFINANCE(A857, ""close"", $K$1, $K$1), 2, 2)"),92.1)</f>
        <v>92.1</v>
      </c>
      <c r="L857" s="8">
        <f t="shared" si="1"/>
        <v>-1.29675276</v>
      </c>
      <c r="M857" s="18">
        <f t="shared" si="2"/>
        <v>-12.9675276</v>
      </c>
      <c r="N857" s="18" t="str">
        <f t="shared" si="3"/>
        <v>Put Spread</v>
      </c>
      <c r="O857" s="18" t="str">
        <f t="shared" si="4"/>
        <v>Success</v>
      </c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</row>
    <row r="858">
      <c r="A858" s="13" t="s">
        <v>881</v>
      </c>
      <c r="B858" s="14" t="s">
        <v>18</v>
      </c>
      <c r="C858" s="15">
        <v>71.19</v>
      </c>
      <c r="D858" s="13" t="s">
        <v>19</v>
      </c>
      <c r="E858" s="15">
        <v>66.79</v>
      </c>
      <c r="F858" s="15">
        <v>4.0</v>
      </c>
      <c r="G858" s="15">
        <v>1.0</v>
      </c>
      <c r="H858" s="15">
        <v>2.0</v>
      </c>
      <c r="I858" s="16">
        <v>0.0</v>
      </c>
      <c r="J858" s="17">
        <f>IFERROR(__xludf.DUMMYFUNCTION("INDEX(GOOGLEFINANCE(A858, ""open"", $J$1, $J$1), 2, 2)"),68.82)</f>
        <v>68.82</v>
      </c>
      <c r="K858" s="17">
        <f>IFERROR(__xludf.DUMMYFUNCTION("INDEX(GOOGLEFINANCE(A858, ""close"", $K$1, $K$1), 2, 2)"),69.25)</f>
        <v>69.25</v>
      </c>
      <c r="L858" s="8">
        <f t="shared" si="1"/>
        <v>0.6248183668</v>
      </c>
      <c r="M858" s="18">
        <f t="shared" si="2"/>
        <v>6.248183668</v>
      </c>
      <c r="N858" s="18" t="str">
        <f t="shared" si="3"/>
        <v>Put Spread</v>
      </c>
      <c r="O858" s="18" t="str">
        <f t="shared" si="4"/>
        <v>Success</v>
      </c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</row>
    <row r="859">
      <c r="A859" s="13" t="s">
        <v>882</v>
      </c>
      <c r="B859" s="14" t="s">
        <v>18</v>
      </c>
      <c r="C859" s="15">
        <v>192.95</v>
      </c>
      <c r="D859" s="13" t="s">
        <v>19</v>
      </c>
      <c r="E859" s="15">
        <v>170.47</v>
      </c>
      <c r="F859" s="15">
        <v>5.0</v>
      </c>
      <c r="G859" s="15">
        <v>2.0</v>
      </c>
      <c r="H859" s="15">
        <v>4.0</v>
      </c>
      <c r="I859" s="16">
        <v>-0.6864656</v>
      </c>
      <c r="J859" s="17">
        <f>IFERROR(__xludf.DUMMYFUNCTION("INDEX(GOOGLEFINANCE(A859, ""open"", $J$1, $J$1), 2, 2)"),182.88)</f>
        <v>182.88</v>
      </c>
      <c r="K859" s="17">
        <f>IFERROR(__xludf.DUMMYFUNCTION("INDEX(GOOGLEFINANCE(A859, ""close"", $K$1, $K$1), 2, 2)"),187.67)</f>
        <v>187.67</v>
      </c>
      <c r="L859" s="8">
        <f t="shared" si="1"/>
        <v>2.61920385</v>
      </c>
      <c r="M859" s="18">
        <f t="shared" si="2"/>
        <v>26.1920385</v>
      </c>
      <c r="N859" s="18" t="str">
        <f t="shared" si="3"/>
        <v>Put Spread</v>
      </c>
      <c r="O859" s="18" t="str">
        <f t="shared" si="4"/>
        <v>Success</v>
      </c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</row>
    <row r="860">
      <c r="A860" s="13" t="s">
        <v>883</v>
      </c>
      <c r="B860" s="14" t="s">
        <v>18</v>
      </c>
      <c r="C860" s="15">
        <v>272.88</v>
      </c>
      <c r="D860" s="13" t="s">
        <v>19</v>
      </c>
      <c r="E860" s="15">
        <v>254.14</v>
      </c>
      <c r="F860" s="15">
        <v>3.0</v>
      </c>
      <c r="G860" s="15">
        <v>2.0</v>
      </c>
      <c r="H860" s="15">
        <v>4.0</v>
      </c>
      <c r="I860" s="16">
        <v>1.89775013626155</v>
      </c>
      <c r="J860" s="17">
        <f>IFERROR(__xludf.DUMMYFUNCTION("INDEX(GOOGLEFINANCE(A860, ""open"", $J$1, $J$1), 2, 2)"),261.03)</f>
        <v>261.03</v>
      </c>
      <c r="K860" s="17">
        <f>IFERROR(__xludf.DUMMYFUNCTION("INDEX(GOOGLEFINANCE(A860, ""close"", $K$1, $K$1), 2, 2)"),239.26)</f>
        <v>239.26</v>
      </c>
      <c r="L860" s="8">
        <f t="shared" si="1"/>
        <v>-8.340037544</v>
      </c>
      <c r="M860" s="18">
        <f t="shared" si="2"/>
        <v>-83.40037544</v>
      </c>
      <c r="N860" s="18" t="str">
        <f t="shared" si="3"/>
        <v>Put Spread</v>
      </c>
      <c r="O860" s="18" t="str">
        <f t="shared" si="4"/>
        <v>No</v>
      </c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</row>
    <row r="861">
      <c r="A861" s="13" t="s">
        <v>884</v>
      </c>
      <c r="B861" s="14" t="s">
        <v>18</v>
      </c>
      <c r="C861" s="15">
        <v>324.03</v>
      </c>
      <c r="D861" s="13" t="s">
        <v>19</v>
      </c>
      <c r="E861" s="15">
        <v>302.19</v>
      </c>
      <c r="F861" s="15">
        <v>5.0</v>
      </c>
      <c r="G861" s="15">
        <v>3.0</v>
      </c>
      <c r="H861" s="15">
        <v>4.0</v>
      </c>
      <c r="I861" s="16">
        <v>-4.037836</v>
      </c>
      <c r="J861" s="17">
        <f>IFERROR(__xludf.DUMMYFUNCTION("INDEX(GOOGLEFINANCE(A861, ""open"", $J$1, $J$1), 2, 2)"),311.96)</f>
        <v>311.96</v>
      </c>
      <c r="K861" s="17">
        <f>IFERROR(__xludf.DUMMYFUNCTION("INDEX(GOOGLEFINANCE(A861, ""close"", $K$1, $K$1), 2, 2)"),314.77)</f>
        <v>314.77</v>
      </c>
      <c r="L861" s="8">
        <f t="shared" si="1"/>
        <v>0.9007565072</v>
      </c>
      <c r="M861" s="18">
        <f t="shared" si="2"/>
        <v>9.007565072</v>
      </c>
      <c r="N861" s="18" t="str">
        <f t="shared" si="3"/>
        <v>Put Spread</v>
      </c>
      <c r="O861" s="18" t="str">
        <f t="shared" si="4"/>
        <v>Success</v>
      </c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</row>
    <row r="862">
      <c r="A862" s="13" t="s">
        <v>885</v>
      </c>
      <c r="B862" s="14" t="s">
        <v>18</v>
      </c>
      <c r="C862" s="15">
        <v>5.82</v>
      </c>
      <c r="D862" s="13" t="s">
        <v>19</v>
      </c>
      <c r="E862" s="15">
        <v>4.52</v>
      </c>
      <c r="F862" s="15">
        <v>5.0</v>
      </c>
      <c r="G862" s="15">
        <v>1.0</v>
      </c>
      <c r="H862" s="15">
        <v>3.0</v>
      </c>
      <c r="I862" s="16">
        <v>-0.8315904</v>
      </c>
      <c r="J862" s="17">
        <f>IFERROR(__xludf.DUMMYFUNCTION("INDEX(GOOGLEFINANCE(A862, ""open"", $J$1, $J$1), 2, 2)"),5.29)</f>
        <v>5.29</v>
      </c>
      <c r="K862" s="17">
        <f>IFERROR(__xludf.DUMMYFUNCTION("INDEX(GOOGLEFINANCE(A862, ""close"", $K$1, $K$1), 2, 2)"),4.76)</f>
        <v>4.76</v>
      </c>
      <c r="L862" s="8">
        <f t="shared" si="1"/>
        <v>-10.01890359</v>
      </c>
      <c r="M862" s="18">
        <f t="shared" si="2"/>
        <v>-100.1890359</v>
      </c>
      <c r="N862" s="18" t="str">
        <f t="shared" si="3"/>
        <v>Put Spread</v>
      </c>
      <c r="O862" s="18" t="str">
        <f t="shared" si="4"/>
        <v>Success</v>
      </c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</row>
    <row r="863">
      <c r="A863" s="13" t="s">
        <v>886</v>
      </c>
      <c r="B863" s="14" t="s">
        <v>18</v>
      </c>
      <c r="C863" s="15">
        <v>27.36</v>
      </c>
      <c r="D863" s="13" t="s">
        <v>19</v>
      </c>
      <c r="E863" s="15">
        <v>25.58</v>
      </c>
      <c r="F863" s="15">
        <v>5.0</v>
      </c>
      <c r="G863" s="15">
        <v>1.0</v>
      </c>
      <c r="H863" s="15">
        <v>4.0</v>
      </c>
      <c r="I863" s="16">
        <v>0.0</v>
      </c>
      <c r="J863" s="17">
        <f>IFERROR(__xludf.DUMMYFUNCTION("INDEX(GOOGLEFINANCE(A863, ""open"", $J$1, $J$1), 2, 2)"),26.23)</f>
        <v>26.23</v>
      </c>
      <c r="K863" s="17">
        <f>IFERROR(__xludf.DUMMYFUNCTION("INDEX(GOOGLEFINANCE(A863, ""close"", $K$1, $K$1), 2, 2)"),25.08)</f>
        <v>25.08</v>
      </c>
      <c r="L863" s="8">
        <f t="shared" si="1"/>
        <v>-4.384292795</v>
      </c>
      <c r="M863" s="18">
        <f t="shared" si="2"/>
        <v>-43.84292795</v>
      </c>
      <c r="N863" s="18" t="str">
        <f t="shared" si="3"/>
        <v>Put Spread</v>
      </c>
      <c r="O863" s="18" t="str">
        <f t="shared" si="4"/>
        <v>No</v>
      </c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</row>
    <row r="864">
      <c r="A864" s="13" t="s">
        <v>887</v>
      </c>
      <c r="B864" s="14" t="s">
        <v>18</v>
      </c>
      <c r="C864" s="15">
        <v>114.89</v>
      </c>
      <c r="D864" s="13" t="s">
        <v>19</v>
      </c>
      <c r="E864" s="15">
        <v>103.99</v>
      </c>
      <c r="F864" s="15">
        <v>5.0</v>
      </c>
      <c r="G864" s="15">
        <v>3.0</v>
      </c>
      <c r="H864" s="15">
        <v>4.0</v>
      </c>
      <c r="I864" s="16">
        <v>0.0</v>
      </c>
      <c r="J864" s="17">
        <f>IFERROR(__xludf.DUMMYFUNCTION("INDEX(GOOGLEFINANCE(A864, ""open"", $J$1, $J$1), 2, 2)"),109.67)</f>
        <v>109.67</v>
      </c>
      <c r="K864" s="17">
        <f>IFERROR(__xludf.DUMMYFUNCTION("INDEX(GOOGLEFINANCE(A864, ""close"", $K$1, $K$1), 2, 2)"),107.93)</f>
        <v>107.93</v>
      </c>
      <c r="L864" s="8">
        <f t="shared" si="1"/>
        <v>-1.586577916</v>
      </c>
      <c r="M864" s="18">
        <f t="shared" si="2"/>
        <v>-15.86577916</v>
      </c>
      <c r="N864" s="18" t="str">
        <f t="shared" si="3"/>
        <v>Put Spread</v>
      </c>
      <c r="O864" s="18" t="str">
        <f t="shared" si="4"/>
        <v>Success</v>
      </c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</row>
    <row r="865">
      <c r="A865" s="13" t="s">
        <v>888</v>
      </c>
      <c r="B865" s="14" t="s">
        <v>18</v>
      </c>
      <c r="C865" s="15">
        <v>225.34</v>
      </c>
      <c r="D865" s="13" t="s">
        <v>19</v>
      </c>
      <c r="E865" s="15">
        <v>215.62</v>
      </c>
      <c r="F865" s="15">
        <v>5.0</v>
      </c>
      <c r="G865" s="15">
        <v>1.0</v>
      </c>
      <c r="H865" s="15">
        <v>4.0</v>
      </c>
      <c r="I865" s="16">
        <v>0.0</v>
      </c>
      <c r="J865" s="17">
        <f>IFERROR(__xludf.DUMMYFUNCTION("INDEX(GOOGLEFINANCE(A865, ""open"", $J$1, $J$1), 2, 2)"),222.25)</f>
        <v>222.25</v>
      </c>
      <c r="K865" s="17">
        <f>IFERROR(__xludf.DUMMYFUNCTION("INDEX(GOOGLEFINANCE(A865, ""close"", $K$1, $K$1), 2, 2)"),214.28)</f>
        <v>214.28</v>
      </c>
      <c r="L865" s="8">
        <f t="shared" si="1"/>
        <v>-3.586051744</v>
      </c>
      <c r="M865" s="18">
        <f t="shared" si="2"/>
        <v>-35.86051744</v>
      </c>
      <c r="N865" s="18" t="str">
        <f t="shared" si="3"/>
        <v>Put Spread</v>
      </c>
      <c r="O865" s="18" t="str">
        <f t="shared" si="4"/>
        <v>No</v>
      </c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</row>
    <row r="866">
      <c r="A866" s="13" t="s">
        <v>889</v>
      </c>
      <c r="B866" s="14" t="s">
        <v>18</v>
      </c>
      <c r="C866" s="15">
        <v>90.61</v>
      </c>
      <c r="D866" s="13" t="s">
        <v>19</v>
      </c>
      <c r="E866" s="15">
        <v>84.61</v>
      </c>
      <c r="F866" s="15">
        <v>5.0</v>
      </c>
      <c r="G866" s="15">
        <v>1.0</v>
      </c>
      <c r="H866" s="15">
        <v>3.0</v>
      </c>
      <c r="I866" s="16">
        <v>-1.1362638</v>
      </c>
      <c r="J866" s="17">
        <f>IFERROR(__xludf.DUMMYFUNCTION("INDEX(GOOGLEFINANCE(A866, ""open"", $J$1, $J$1), 2, 2)"),87.69)</f>
        <v>87.69</v>
      </c>
      <c r="K866" s="17">
        <f>IFERROR(__xludf.DUMMYFUNCTION("INDEX(GOOGLEFINANCE(A866, ""close"", $K$1, $K$1), 2, 2)"),85.93)</f>
        <v>85.93</v>
      </c>
      <c r="L866" s="8">
        <f t="shared" si="1"/>
        <v>-2.007070362</v>
      </c>
      <c r="M866" s="18">
        <f t="shared" si="2"/>
        <v>-20.07070362</v>
      </c>
      <c r="N866" s="18" t="str">
        <f t="shared" si="3"/>
        <v>Put Spread</v>
      </c>
      <c r="O866" s="18" t="str">
        <f t="shared" si="4"/>
        <v>Success</v>
      </c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</row>
    <row r="867">
      <c r="A867" s="13" t="s">
        <v>890</v>
      </c>
      <c r="B867" s="14" t="s">
        <v>18</v>
      </c>
      <c r="C867" s="15">
        <v>74.59</v>
      </c>
      <c r="D867" s="13" t="s">
        <v>19</v>
      </c>
      <c r="E867" s="15">
        <v>70.73</v>
      </c>
      <c r="F867" s="15">
        <v>3.0</v>
      </c>
      <c r="G867" s="15">
        <v>2.0</v>
      </c>
      <c r="H867" s="15">
        <v>5.0</v>
      </c>
      <c r="I867" s="16">
        <v>1.15574099758349</v>
      </c>
      <c r="J867" s="17">
        <f>IFERROR(__xludf.DUMMYFUNCTION("INDEX(GOOGLEFINANCE(A867, ""open"", $J$1, $J$1), 2, 2)"),72.12)</f>
        <v>72.12</v>
      </c>
      <c r="K867" s="17">
        <f>IFERROR(__xludf.DUMMYFUNCTION("INDEX(GOOGLEFINANCE(A867, ""close"", $K$1, $K$1), 2, 2)"),73.47)</f>
        <v>73.47</v>
      </c>
      <c r="L867" s="8">
        <f t="shared" si="1"/>
        <v>1.8718802</v>
      </c>
      <c r="M867" s="18">
        <f t="shared" si="2"/>
        <v>18.718802</v>
      </c>
      <c r="N867" s="18" t="str">
        <f t="shared" si="3"/>
        <v>Put Spread</v>
      </c>
      <c r="O867" s="18" t="str">
        <f t="shared" si="4"/>
        <v>Success</v>
      </c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</row>
    <row r="868">
      <c r="A868" s="13" t="s">
        <v>891</v>
      </c>
      <c r="B868" s="14" t="s">
        <v>18</v>
      </c>
      <c r="C868" s="15">
        <v>110.5</v>
      </c>
      <c r="D868" s="13" t="s">
        <v>19</v>
      </c>
      <c r="E868" s="15">
        <v>102.56</v>
      </c>
      <c r="F868" s="15">
        <v>5.0</v>
      </c>
      <c r="G868" s="15">
        <v>2.0</v>
      </c>
      <c r="H868" s="15">
        <v>4.0</v>
      </c>
      <c r="I868" s="16">
        <v>0.0</v>
      </c>
      <c r="J868" s="17">
        <f>IFERROR(__xludf.DUMMYFUNCTION("INDEX(GOOGLEFINANCE(A868, ""open"", $J$1, $J$1), 2, 2)"),106.89)</f>
        <v>106.89</v>
      </c>
      <c r="K868" s="17">
        <f>IFERROR(__xludf.DUMMYFUNCTION("INDEX(GOOGLEFINANCE(A868, ""close"", $K$1, $K$1), 2, 2)"),103.86)</f>
        <v>103.86</v>
      </c>
      <c r="L868" s="8">
        <f t="shared" si="1"/>
        <v>-2.834689868</v>
      </c>
      <c r="M868" s="18">
        <f t="shared" si="2"/>
        <v>-28.34689868</v>
      </c>
      <c r="N868" s="18" t="str">
        <f t="shared" si="3"/>
        <v>Put Spread</v>
      </c>
      <c r="O868" s="18" t="str">
        <f t="shared" si="4"/>
        <v>Success</v>
      </c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</row>
    <row r="869">
      <c r="A869" s="13" t="s">
        <v>892</v>
      </c>
      <c r="B869" s="14" t="s">
        <v>18</v>
      </c>
      <c r="C869" s="15">
        <v>82.54</v>
      </c>
      <c r="D869" s="13" t="s">
        <v>19</v>
      </c>
      <c r="E869" s="15">
        <v>76.84</v>
      </c>
      <c r="F869" s="15">
        <v>5.0</v>
      </c>
      <c r="G869" s="15">
        <v>2.0</v>
      </c>
      <c r="H869" s="15">
        <v>4.0</v>
      </c>
      <c r="I869" s="16">
        <v>0.0</v>
      </c>
      <c r="J869" s="17">
        <f>IFERROR(__xludf.DUMMYFUNCTION("INDEX(GOOGLEFINANCE(A869, ""open"", $J$1, $J$1), 2, 2)"),79.63)</f>
        <v>79.63</v>
      </c>
      <c r="K869" s="17">
        <f>IFERROR(__xludf.DUMMYFUNCTION("INDEX(GOOGLEFINANCE(A869, ""close"", $K$1, $K$1), 2, 2)"),76.48)</f>
        <v>76.48</v>
      </c>
      <c r="L869" s="8">
        <f t="shared" si="1"/>
        <v>-3.955795554</v>
      </c>
      <c r="M869" s="18">
        <f t="shared" si="2"/>
        <v>-39.55795554</v>
      </c>
      <c r="N869" s="18" t="str">
        <f t="shared" si="3"/>
        <v>Put Spread</v>
      </c>
      <c r="O869" s="18" t="str">
        <f t="shared" si="4"/>
        <v>No</v>
      </c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</row>
    <row r="870">
      <c r="A870" s="13" t="s">
        <v>893</v>
      </c>
      <c r="B870" s="14" t="s">
        <v>18</v>
      </c>
      <c r="C870" s="15">
        <v>95.94</v>
      </c>
      <c r="D870" s="13" t="s">
        <v>19</v>
      </c>
      <c r="E870" s="15">
        <v>88.8</v>
      </c>
      <c r="F870" s="15">
        <v>5.0</v>
      </c>
      <c r="G870" s="15">
        <v>4.0</v>
      </c>
      <c r="H870" s="15">
        <v>5.0</v>
      </c>
      <c r="I870" s="16">
        <v>0.0</v>
      </c>
      <c r="J870" s="17">
        <f>IFERROR(__xludf.DUMMYFUNCTION("INDEX(GOOGLEFINANCE(A870, ""open"", $J$1, $J$1), 2, 2)"),91.84)</f>
        <v>91.84</v>
      </c>
      <c r="K870" s="17">
        <f>IFERROR(__xludf.DUMMYFUNCTION("INDEX(GOOGLEFINANCE(A870, ""close"", $K$1, $K$1), 2, 2)"),86.72)</f>
        <v>86.72</v>
      </c>
      <c r="L870" s="8">
        <f t="shared" si="1"/>
        <v>-5.574912892</v>
      </c>
      <c r="M870" s="18">
        <f t="shared" si="2"/>
        <v>-55.74912892</v>
      </c>
      <c r="N870" s="18" t="str">
        <f t="shared" si="3"/>
        <v>Put Spread</v>
      </c>
      <c r="O870" s="18" t="str">
        <f t="shared" si="4"/>
        <v>No</v>
      </c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</row>
    <row r="871">
      <c r="A871" s="13" t="s">
        <v>894</v>
      </c>
      <c r="B871" s="26" t="s">
        <v>47</v>
      </c>
      <c r="C871" s="15">
        <v>104.96</v>
      </c>
      <c r="D871" s="13" t="s">
        <v>48</v>
      </c>
      <c r="E871" s="15">
        <v>110.28</v>
      </c>
      <c r="F871" s="15">
        <v>2.0</v>
      </c>
      <c r="G871" s="15">
        <v>1.0</v>
      </c>
      <c r="H871" s="15">
        <v>4.0</v>
      </c>
      <c r="I871" s="16">
        <v>0.0</v>
      </c>
      <c r="J871" s="17">
        <f>IFERROR(__xludf.DUMMYFUNCTION("INDEX(GOOGLEFINANCE(A871, ""open"", $J$1, $J$1), 2, 2)"),107.55)</f>
        <v>107.55</v>
      </c>
      <c r="K871" s="17">
        <f>IFERROR(__xludf.DUMMYFUNCTION("INDEX(GOOGLEFINANCE(A871, ""close"", $K$1, $K$1), 2, 2)"),106.12)</f>
        <v>106.12</v>
      </c>
      <c r="L871" s="8">
        <f t="shared" si="1"/>
        <v>1.329614133</v>
      </c>
      <c r="M871" s="18">
        <f t="shared" si="2"/>
        <v>13.29614133</v>
      </c>
      <c r="N871" s="18" t="str">
        <f t="shared" si="3"/>
        <v>Call Spread</v>
      </c>
      <c r="O871" s="18" t="str">
        <f t="shared" si="4"/>
        <v>Success</v>
      </c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</row>
    <row r="872">
      <c r="A872" s="13" t="s">
        <v>895</v>
      </c>
      <c r="B872" s="26" t="s">
        <v>47</v>
      </c>
      <c r="C872" s="15">
        <v>85.27</v>
      </c>
      <c r="D872" s="13" t="s">
        <v>48</v>
      </c>
      <c r="E872" s="15">
        <v>88.93</v>
      </c>
      <c r="F872" s="15">
        <v>2.0</v>
      </c>
      <c r="G872" s="15">
        <v>0.0</v>
      </c>
      <c r="H872" s="15">
        <v>3.0</v>
      </c>
      <c r="I872" s="16">
        <v>0.0</v>
      </c>
      <c r="J872" s="17">
        <f>IFERROR(__xludf.DUMMYFUNCTION("INDEX(GOOGLEFINANCE(A872, ""open"", $J$1, $J$1), 2, 2)"),87.68)</f>
        <v>87.68</v>
      </c>
      <c r="K872" s="17">
        <f>IFERROR(__xludf.DUMMYFUNCTION("INDEX(GOOGLEFINANCE(A872, ""close"", $K$1, $K$1), 2, 2)"),85.59)</f>
        <v>85.59</v>
      </c>
      <c r="L872" s="8">
        <f t="shared" si="1"/>
        <v>2.383667883</v>
      </c>
      <c r="M872" s="18">
        <f t="shared" si="2"/>
        <v>23.83667883</v>
      </c>
      <c r="N872" s="18" t="str">
        <f t="shared" si="3"/>
        <v>Call Spread</v>
      </c>
      <c r="O872" s="18" t="str">
        <f t="shared" si="4"/>
        <v>Success</v>
      </c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</row>
    <row r="873">
      <c r="A873" s="13" t="s">
        <v>896</v>
      </c>
      <c r="B873" s="14" t="s">
        <v>18</v>
      </c>
      <c r="C873" s="15">
        <v>55.24</v>
      </c>
      <c r="D873" s="13" t="s">
        <v>19</v>
      </c>
      <c r="E873" s="15">
        <v>51.64</v>
      </c>
      <c r="F873" s="15">
        <v>5.0</v>
      </c>
      <c r="G873" s="15">
        <v>2.0</v>
      </c>
      <c r="H873" s="15">
        <v>5.0</v>
      </c>
      <c r="I873" s="16">
        <v>0.0</v>
      </c>
      <c r="J873" s="17">
        <f>IFERROR(__xludf.DUMMYFUNCTION("INDEX(GOOGLEFINANCE(A873, ""open"", $J$1, $J$1), 2, 2)"),53.38)</f>
        <v>53.38</v>
      </c>
      <c r="K873" s="17">
        <f>IFERROR(__xludf.DUMMYFUNCTION("INDEX(GOOGLEFINANCE(A873, ""close"", $K$1, $K$1), 2, 2)"),51.4)</f>
        <v>51.4</v>
      </c>
      <c r="L873" s="8">
        <f t="shared" si="1"/>
        <v>-3.709254402</v>
      </c>
      <c r="M873" s="18">
        <f t="shared" si="2"/>
        <v>-37.09254402</v>
      </c>
      <c r="N873" s="18" t="str">
        <f t="shared" si="3"/>
        <v>Put Spread</v>
      </c>
      <c r="O873" s="18" t="str">
        <f t="shared" si="4"/>
        <v>No</v>
      </c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</row>
    <row r="874">
      <c r="A874" s="13" t="s">
        <v>897</v>
      </c>
      <c r="B874" s="14" t="s">
        <v>18</v>
      </c>
      <c r="C874" s="15">
        <v>157.98</v>
      </c>
      <c r="D874" s="13" t="s">
        <v>19</v>
      </c>
      <c r="E874" s="15">
        <v>152.0</v>
      </c>
      <c r="F874" s="15">
        <v>2.0</v>
      </c>
      <c r="G874" s="15">
        <v>2.0</v>
      </c>
      <c r="H874" s="15">
        <v>5.0</v>
      </c>
      <c r="I874" s="16">
        <v>0.0</v>
      </c>
      <c r="J874" s="17">
        <f>IFERROR(__xludf.DUMMYFUNCTION("INDEX(GOOGLEFINANCE(A874, ""open"", $J$1, $J$1), 2, 2)"),155.07)</f>
        <v>155.07</v>
      </c>
      <c r="K874" s="17">
        <f>IFERROR(__xludf.DUMMYFUNCTION("INDEX(GOOGLEFINANCE(A874, ""close"", $K$1, $K$1), 2, 2)"),149.74)</f>
        <v>149.74</v>
      </c>
      <c r="L874" s="8">
        <f t="shared" si="1"/>
        <v>-3.437157413</v>
      </c>
      <c r="M874" s="18">
        <f t="shared" si="2"/>
        <v>-34.37157413</v>
      </c>
      <c r="N874" s="18" t="str">
        <f t="shared" si="3"/>
        <v>Put Spread</v>
      </c>
      <c r="O874" s="18" t="str">
        <f t="shared" si="4"/>
        <v>No</v>
      </c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</row>
    <row r="875">
      <c r="A875" s="13" t="s">
        <v>898</v>
      </c>
      <c r="B875" s="14" t="s">
        <v>18</v>
      </c>
      <c r="C875" s="15">
        <v>269.0</v>
      </c>
      <c r="D875" s="13" t="s">
        <v>19</v>
      </c>
      <c r="E875" s="15">
        <v>254.98</v>
      </c>
      <c r="F875" s="15">
        <v>3.0</v>
      </c>
      <c r="G875" s="15">
        <v>1.0</v>
      </c>
      <c r="H875" s="15">
        <v>4.0</v>
      </c>
      <c r="I875" s="16">
        <v>-1.0774593</v>
      </c>
      <c r="J875" s="17">
        <f>IFERROR(__xludf.DUMMYFUNCTION("INDEX(GOOGLEFINANCE(A875, ""open"", $J$1, $J$1), 2, 2)"),262.99)</f>
        <v>262.99</v>
      </c>
      <c r="K875" s="17">
        <f>IFERROR(__xludf.DUMMYFUNCTION("INDEX(GOOGLEFINANCE(A875, ""close"", $K$1, $K$1), 2, 2)"),257.07)</f>
        <v>257.07</v>
      </c>
      <c r="L875" s="8">
        <f t="shared" si="1"/>
        <v>-2.251036161</v>
      </c>
      <c r="M875" s="18">
        <f t="shared" si="2"/>
        <v>-22.51036161</v>
      </c>
      <c r="N875" s="18" t="str">
        <f t="shared" si="3"/>
        <v>Put Spread</v>
      </c>
      <c r="O875" s="18" t="str">
        <f t="shared" si="4"/>
        <v>Success</v>
      </c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</row>
    <row r="876">
      <c r="A876" s="13" t="s">
        <v>899</v>
      </c>
      <c r="B876" s="26" t="s">
        <v>47</v>
      </c>
      <c r="C876" s="15">
        <v>79.21</v>
      </c>
      <c r="D876" s="13" t="s">
        <v>48</v>
      </c>
      <c r="E876" s="15">
        <v>83.79</v>
      </c>
      <c r="F876" s="15">
        <v>0.0</v>
      </c>
      <c r="G876" s="15">
        <v>3.0</v>
      </c>
      <c r="H876" s="15">
        <v>5.0</v>
      </c>
      <c r="I876" s="16">
        <v>0.0</v>
      </c>
      <c r="J876" s="17">
        <f>IFERROR(__xludf.DUMMYFUNCTION("INDEX(GOOGLEFINANCE(A876, ""open"", $J$1, $J$1), 2, 2)"),81.07)</f>
        <v>81.07</v>
      </c>
      <c r="K876" s="17">
        <f>IFERROR(__xludf.DUMMYFUNCTION("INDEX(GOOGLEFINANCE(A876, ""close"", $K$1, $K$1), 2, 2)"),80.16)</f>
        <v>80.16</v>
      </c>
      <c r="L876" s="8">
        <f t="shared" si="1"/>
        <v>1.12248674</v>
      </c>
      <c r="M876" s="18">
        <f t="shared" si="2"/>
        <v>11.2248674</v>
      </c>
      <c r="N876" s="18" t="str">
        <f t="shared" si="3"/>
        <v>Call Spread</v>
      </c>
      <c r="O876" s="18" t="str">
        <f t="shared" si="4"/>
        <v>Success</v>
      </c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</row>
    <row r="877">
      <c r="A877" s="13" t="s">
        <v>900</v>
      </c>
      <c r="B877" s="26" t="s">
        <v>47</v>
      </c>
      <c r="C877" s="15">
        <v>42.13</v>
      </c>
      <c r="D877" s="13" t="s">
        <v>48</v>
      </c>
      <c r="E877" s="15">
        <v>43.45</v>
      </c>
      <c r="F877" s="15">
        <v>3.0</v>
      </c>
      <c r="G877" s="15">
        <v>1.0</v>
      </c>
      <c r="H877" s="15">
        <v>4.0</v>
      </c>
      <c r="I877" s="16">
        <v>0.855718240648538</v>
      </c>
      <c r="J877" s="17">
        <f>IFERROR(__xludf.DUMMYFUNCTION("INDEX(GOOGLEFINANCE(A877, ""open"", $J$1, $J$1), 2, 2)"),42.59)</f>
        <v>42.59</v>
      </c>
      <c r="K877" s="17">
        <f>IFERROR(__xludf.DUMMYFUNCTION("INDEX(GOOGLEFINANCE(A877, ""close"", $K$1, $K$1), 2, 2)"),41.29)</f>
        <v>41.29</v>
      </c>
      <c r="L877" s="8">
        <f t="shared" si="1"/>
        <v>3.052359709</v>
      </c>
      <c r="M877" s="18">
        <f t="shared" si="2"/>
        <v>30.52359709</v>
      </c>
      <c r="N877" s="18" t="str">
        <f t="shared" si="3"/>
        <v>Call Spread</v>
      </c>
      <c r="O877" s="18" t="str">
        <f t="shared" si="4"/>
        <v>Success</v>
      </c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</row>
    <row r="878">
      <c r="A878" s="13" t="s">
        <v>901</v>
      </c>
      <c r="B878" s="14" t="s">
        <v>18</v>
      </c>
      <c r="C878" s="15">
        <v>87.25</v>
      </c>
      <c r="D878" s="13" t="s">
        <v>19</v>
      </c>
      <c r="E878" s="15">
        <v>81.79</v>
      </c>
      <c r="F878" s="15">
        <v>4.0</v>
      </c>
      <c r="G878" s="15">
        <v>2.0</v>
      </c>
      <c r="H878" s="15">
        <v>5.0</v>
      </c>
      <c r="I878" s="16">
        <v>0.0</v>
      </c>
      <c r="J878" s="17">
        <f>IFERROR(__xludf.DUMMYFUNCTION("INDEX(GOOGLEFINANCE(A878, ""open"", $J$1, $J$1), 2, 2)"),84.51)</f>
        <v>84.51</v>
      </c>
      <c r="K878" s="17">
        <f>IFERROR(__xludf.DUMMYFUNCTION("INDEX(GOOGLEFINANCE(A878, ""close"", $K$1, $K$1), 2, 2)"),85.8)</f>
        <v>85.8</v>
      </c>
      <c r="L878" s="8">
        <f t="shared" si="1"/>
        <v>1.526446574</v>
      </c>
      <c r="M878" s="18">
        <f t="shared" si="2"/>
        <v>15.26446574</v>
      </c>
      <c r="N878" s="18" t="str">
        <f t="shared" si="3"/>
        <v>Put Spread</v>
      </c>
      <c r="O878" s="18" t="str">
        <f t="shared" si="4"/>
        <v>Success</v>
      </c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</row>
    <row r="879">
      <c r="A879" s="13" t="s">
        <v>902</v>
      </c>
      <c r="B879" s="14" t="s">
        <v>18</v>
      </c>
      <c r="C879" s="15">
        <v>139.08</v>
      </c>
      <c r="D879" s="13" t="s">
        <v>19</v>
      </c>
      <c r="E879" s="15">
        <v>133.88</v>
      </c>
      <c r="F879" s="15">
        <v>5.0</v>
      </c>
      <c r="G879" s="15">
        <v>1.0</v>
      </c>
      <c r="H879" s="15">
        <v>3.0</v>
      </c>
      <c r="I879" s="16">
        <v>0.0</v>
      </c>
      <c r="J879" s="17">
        <f>IFERROR(__xludf.DUMMYFUNCTION("INDEX(GOOGLEFINANCE(A879, ""open"", $J$1, $J$1), 2, 2)"),136.14)</f>
        <v>136.14</v>
      </c>
      <c r="K879" s="17">
        <f>IFERROR(__xludf.DUMMYFUNCTION("INDEX(GOOGLEFINANCE(A879, ""close"", $K$1, $K$1), 2, 2)"),131.13)</f>
        <v>131.13</v>
      </c>
      <c r="L879" s="8">
        <f t="shared" si="1"/>
        <v>-3.680035258</v>
      </c>
      <c r="M879" s="18">
        <f t="shared" si="2"/>
        <v>-36.80035258</v>
      </c>
      <c r="N879" s="18" t="str">
        <f t="shared" si="3"/>
        <v>Put Spread</v>
      </c>
      <c r="O879" s="18" t="str">
        <f t="shared" si="4"/>
        <v>No</v>
      </c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</row>
    <row r="880">
      <c r="A880" s="13" t="s">
        <v>903</v>
      </c>
      <c r="B880" s="26" t="s">
        <v>47</v>
      </c>
      <c r="C880" s="15">
        <v>219.17</v>
      </c>
      <c r="D880" s="13" t="s">
        <v>48</v>
      </c>
      <c r="E880" s="15">
        <v>230.57</v>
      </c>
      <c r="F880" s="15">
        <v>2.0</v>
      </c>
      <c r="G880" s="15">
        <v>1.0</v>
      </c>
      <c r="H880" s="15">
        <v>5.0</v>
      </c>
      <c r="I880" s="16">
        <v>0.0</v>
      </c>
      <c r="J880" s="17">
        <f>IFERROR(__xludf.DUMMYFUNCTION("INDEX(GOOGLEFINANCE(A880, ""open"", $J$1, $J$1), 2, 2)"),225.74)</f>
        <v>225.74</v>
      </c>
      <c r="K880" s="17">
        <f>IFERROR(__xludf.DUMMYFUNCTION("INDEX(GOOGLEFINANCE(A880, ""close"", $K$1, $K$1), 2, 2)"),216.09)</f>
        <v>216.09</v>
      </c>
      <c r="L880" s="8">
        <f t="shared" si="1"/>
        <v>4.27482945</v>
      </c>
      <c r="M880" s="18">
        <f t="shared" si="2"/>
        <v>42.7482945</v>
      </c>
      <c r="N880" s="18" t="str">
        <f t="shared" si="3"/>
        <v>Call Spread</v>
      </c>
      <c r="O880" s="18" t="str">
        <f t="shared" si="4"/>
        <v>Success</v>
      </c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</row>
    <row r="881">
      <c r="A881" s="13" t="s">
        <v>904</v>
      </c>
      <c r="B881" s="26" t="s">
        <v>47</v>
      </c>
      <c r="C881" s="15">
        <v>74.81</v>
      </c>
      <c r="D881" s="13" t="s">
        <v>48</v>
      </c>
      <c r="E881" s="15">
        <v>80.39</v>
      </c>
      <c r="F881" s="15">
        <v>1.0</v>
      </c>
      <c r="G881" s="15">
        <v>1.0</v>
      </c>
      <c r="H881" s="15">
        <v>5.0</v>
      </c>
      <c r="I881" s="16">
        <v>0.0</v>
      </c>
      <c r="J881" s="17">
        <f>IFERROR(__xludf.DUMMYFUNCTION("INDEX(GOOGLEFINANCE(A881, ""open"", $J$1, $J$1), 2, 2)"),77.33)</f>
        <v>77.33</v>
      </c>
      <c r="K881" s="17">
        <f>IFERROR(__xludf.DUMMYFUNCTION("INDEX(GOOGLEFINANCE(A881, ""close"", $K$1, $K$1), 2, 2)"),72.41)</f>
        <v>72.41</v>
      </c>
      <c r="L881" s="8">
        <f t="shared" si="1"/>
        <v>6.362343204</v>
      </c>
      <c r="M881" s="18">
        <f t="shared" si="2"/>
        <v>63.62343204</v>
      </c>
      <c r="N881" s="18" t="str">
        <f t="shared" si="3"/>
        <v>Call Spread</v>
      </c>
      <c r="O881" s="18" t="str">
        <f t="shared" si="4"/>
        <v>Success</v>
      </c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</row>
    <row r="882">
      <c r="A882" s="13" t="s">
        <v>905</v>
      </c>
      <c r="B882" s="14" t="s">
        <v>18</v>
      </c>
      <c r="C882" s="15">
        <v>113.56</v>
      </c>
      <c r="D882" s="13" t="s">
        <v>19</v>
      </c>
      <c r="E882" s="15">
        <v>107.24</v>
      </c>
      <c r="F882" s="15">
        <v>5.0</v>
      </c>
      <c r="G882" s="15">
        <v>1.0</v>
      </c>
      <c r="H882" s="15">
        <v>1.0</v>
      </c>
      <c r="I882" s="16">
        <v>0.0</v>
      </c>
      <c r="J882" s="17">
        <f>IFERROR(__xludf.DUMMYFUNCTION("INDEX(GOOGLEFINANCE(A882, ""open"", $J$1, $J$1), 2, 2)"),111.0)</f>
        <v>111</v>
      </c>
      <c r="K882" s="17">
        <f>IFERROR(__xludf.DUMMYFUNCTION("INDEX(GOOGLEFINANCE(A882, ""close"", $K$1, $K$1), 2, 2)"),109.64)</f>
        <v>109.64</v>
      </c>
      <c r="L882" s="8">
        <f t="shared" si="1"/>
        <v>-1.225225225</v>
      </c>
      <c r="M882" s="18">
        <f t="shared" si="2"/>
        <v>-12.25225225</v>
      </c>
      <c r="N882" s="18" t="str">
        <f t="shared" si="3"/>
        <v>Put Spread</v>
      </c>
      <c r="O882" s="18" t="str">
        <f t="shared" si="4"/>
        <v>Success</v>
      </c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</row>
    <row r="883">
      <c r="A883" s="13" t="s">
        <v>906</v>
      </c>
      <c r="B883" s="26" t="s">
        <v>47</v>
      </c>
      <c r="C883" s="15">
        <v>123.38</v>
      </c>
      <c r="D883" s="13" t="s">
        <v>48</v>
      </c>
      <c r="E883" s="15">
        <v>132.66</v>
      </c>
      <c r="F883" s="15">
        <v>2.0</v>
      </c>
      <c r="G883" s="15">
        <v>2.0</v>
      </c>
      <c r="H883" s="15">
        <v>1.0</v>
      </c>
      <c r="I883" s="16">
        <v>0.0</v>
      </c>
      <c r="J883" s="17">
        <f>IFERROR(__xludf.DUMMYFUNCTION("INDEX(GOOGLEFINANCE(A883, ""open"", $J$1, $J$1), 2, 2)"),129.51)</f>
        <v>129.51</v>
      </c>
      <c r="K883" s="17">
        <f>IFERROR(__xludf.DUMMYFUNCTION("INDEX(GOOGLEFINANCE(A883, ""close"", $K$1, $K$1), 2, 2)"),123.7)</f>
        <v>123.7</v>
      </c>
      <c r="L883" s="8">
        <f t="shared" si="1"/>
        <v>4.486140066</v>
      </c>
      <c r="M883" s="18">
        <f t="shared" si="2"/>
        <v>44.86140066</v>
      </c>
      <c r="N883" s="18" t="str">
        <f t="shared" si="3"/>
        <v>Call Spread</v>
      </c>
      <c r="O883" s="18" t="str">
        <f t="shared" si="4"/>
        <v>Success</v>
      </c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</row>
    <row r="884">
      <c r="A884" s="13" t="s">
        <v>907</v>
      </c>
      <c r="B884" s="14" t="s">
        <v>18</v>
      </c>
      <c r="C884" s="15">
        <v>18.37</v>
      </c>
      <c r="D884" s="13" t="s">
        <v>19</v>
      </c>
      <c r="E884" s="15">
        <v>14.75</v>
      </c>
      <c r="F884" s="15">
        <v>3.0</v>
      </c>
      <c r="G884" s="15">
        <v>2.0</v>
      </c>
      <c r="H884" s="15">
        <v>2.0</v>
      </c>
      <c r="I884" s="16">
        <v>1.1567956560547</v>
      </c>
      <c r="J884" s="17">
        <f>IFERROR(__xludf.DUMMYFUNCTION("INDEX(GOOGLEFINANCE(A884, ""open"", $J$1, $J$1), 2, 2)"),16.51)</f>
        <v>16.51</v>
      </c>
      <c r="K884" s="17">
        <f>IFERROR(__xludf.DUMMYFUNCTION("INDEX(GOOGLEFINANCE(A884, ""close"", $K$1, $K$1), 2, 2)"),16.36)</f>
        <v>16.36</v>
      </c>
      <c r="L884" s="8">
        <f t="shared" si="1"/>
        <v>-0.9085402786</v>
      </c>
      <c r="M884" s="18">
        <f t="shared" si="2"/>
        <v>-9.085402786</v>
      </c>
      <c r="N884" s="18" t="str">
        <f t="shared" si="3"/>
        <v>Put Spread</v>
      </c>
      <c r="O884" s="18" t="str">
        <f t="shared" si="4"/>
        <v>Success</v>
      </c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</row>
    <row r="885">
      <c r="A885" s="13" t="s">
        <v>908</v>
      </c>
      <c r="B885" s="14" t="s">
        <v>18</v>
      </c>
      <c r="C885" s="15">
        <v>20.6</v>
      </c>
      <c r="D885" s="13" t="s">
        <v>19</v>
      </c>
      <c r="E885" s="15">
        <v>17.34</v>
      </c>
      <c r="F885" s="15">
        <v>5.0</v>
      </c>
      <c r="G885" s="15">
        <v>2.0</v>
      </c>
      <c r="H885" s="15">
        <v>4.0</v>
      </c>
      <c r="I885" s="16">
        <v>0.971701106054987</v>
      </c>
      <c r="J885" s="17">
        <f>IFERROR(__xludf.DUMMYFUNCTION("INDEX(GOOGLEFINANCE(A885, ""open"", $J$1, $J$1), 2, 2)"),19.06)</f>
        <v>19.06</v>
      </c>
      <c r="K885" s="17">
        <f>IFERROR(__xludf.DUMMYFUNCTION("INDEX(GOOGLEFINANCE(A885, ""close"", $K$1, $K$1), 2, 2)"),18.05)</f>
        <v>18.05</v>
      </c>
      <c r="L885" s="8">
        <f t="shared" si="1"/>
        <v>-5.299055614</v>
      </c>
      <c r="M885" s="18">
        <f t="shared" si="2"/>
        <v>-52.99055614</v>
      </c>
      <c r="N885" s="18" t="str">
        <f t="shared" si="3"/>
        <v>Put Spread</v>
      </c>
      <c r="O885" s="18" t="str">
        <f t="shared" si="4"/>
        <v>Success</v>
      </c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</row>
    <row r="886">
      <c r="A886" s="13" t="s">
        <v>909</v>
      </c>
      <c r="B886" s="14" t="s">
        <v>18</v>
      </c>
      <c r="C886" s="15">
        <v>44.25</v>
      </c>
      <c r="D886" s="13" t="s">
        <v>19</v>
      </c>
      <c r="E886" s="15">
        <v>42.31</v>
      </c>
      <c r="F886" s="15">
        <v>5.0</v>
      </c>
      <c r="G886" s="15">
        <v>0.0</v>
      </c>
      <c r="H886" s="15">
        <v>4.0</v>
      </c>
      <c r="I886" s="16">
        <v>-1.387094</v>
      </c>
      <c r="J886" s="17">
        <f>IFERROR(__xludf.DUMMYFUNCTION("INDEX(GOOGLEFINANCE(A886, ""open"", $J$1, $J$1), 2, 2)"),43.3)</f>
        <v>43.3</v>
      </c>
      <c r="K886" s="17">
        <f>IFERROR(__xludf.DUMMYFUNCTION("INDEX(GOOGLEFINANCE(A886, ""close"", $K$1, $K$1), 2, 2)"),41.71)</f>
        <v>41.71</v>
      </c>
      <c r="L886" s="8">
        <f t="shared" si="1"/>
        <v>-3.672055427</v>
      </c>
      <c r="M886" s="18">
        <f t="shared" si="2"/>
        <v>-36.72055427</v>
      </c>
      <c r="N886" s="18" t="str">
        <f t="shared" si="3"/>
        <v>Put Spread</v>
      </c>
      <c r="O886" s="18" t="str">
        <f t="shared" si="4"/>
        <v>No</v>
      </c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</row>
    <row r="887">
      <c r="A887" s="13" t="s">
        <v>910</v>
      </c>
      <c r="B887" s="14" t="s">
        <v>18</v>
      </c>
      <c r="C887" s="15">
        <v>146.65</v>
      </c>
      <c r="D887" s="13" t="s">
        <v>19</v>
      </c>
      <c r="E887" s="15">
        <v>129.97</v>
      </c>
      <c r="F887" s="15">
        <v>3.0</v>
      </c>
      <c r="G887" s="15">
        <v>2.0</v>
      </c>
      <c r="H887" s="15">
        <v>4.0</v>
      </c>
      <c r="I887" s="16">
        <v>0.0</v>
      </c>
      <c r="J887" s="17">
        <f>IFERROR(__xludf.DUMMYFUNCTION("INDEX(GOOGLEFINANCE(A887, ""open"", $J$1, $J$1), 2, 2)"),137.79)</f>
        <v>137.79</v>
      </c>
      <c r="K887" s="17">
        <f>IFERROR(__xludf.DUMMYFUNCTION("INDEX(GOOGLEFINANCE(A887, ""close"", $K$1, $K$1), 2, 2)"),118.79)</f>
        <v>118.79</v>
      </c>
      <c r="L887" s="8">
        <f t="shared" si="1"/>
        <v>-13.78909935</v>
      </c>
      <c r="M887" s="18">
        <f t="shared" si="2"/>
        <v>-137.8909935</v>
      </c>
      <c r="N887" s="18" t="str">
        <f t="shared" si="3"/>
        <v>Put Spread</v>
      </c>
      <c r="O887" s="18" t="str">
        <f t="shared" si="4"/>
        <v>No</v>
      </c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</row>
    <row r="888">
      <c r="A888" s="13" t="s">
        <v>911</v>
      </c>
      <c r="B888" s="26" t="s">
        <v>47</v>
      </c>
      <c r="C888" s="15">
        <v>78.11</v>
      </c>
      <c r="D888" s="13" t="s">
        <v>48</v>
      </c>
      <c r="E888" s="15">
        <v>85.43</v>
      </c>
      <c r="F888" s="15">
        <v>0.0</v>
      </c>
      <c r="G888" s="15">
        <v>3.0</v>
      </c>
      <c r="H888" s="15">
        <v>5.0</v>
      </c>
      <c r="I888" s="16">
        <v>0.0</v>
      </c>
      <c r="J888" s="17">
        <f>IFERROR(__xludf.DUMMYFUNCTION("INDEX(GOOGLEFINANCE(A888, ""open"", $J$1, $J$1), 2, 2)"),81.78)</f>
        <v>81.78</v>
      </c>
      <c r="K888" s="17">
        <f>IFERROR(__xludf.DUMMYFUNCTION("INDEX(GOOGLEFINANCE(A888, ""close"", $K$1, $K$1), 2, 2)"),77.85)</f>
        <v>77.85</v>
      </c>
      <c r="L888" s="8">
        <f t="shared" si="1"/>
        <v>4.805575935</v>
      </c>
      <c r="M888" s="18">
        <f t="shared" si="2"/>
        <v>48.05575935</v>
      </c>
      <c r="N888" s="18" t="str">
        <f t="shared" si="3"/>
        <v>Call Spread</v>
      </c>
      <c r="O888" s="18" t="str">
        <f t="shared" si="4"/>
        <v>Success</v>
      </c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</row>
    <row r="889">
      <c r="A889" s="13" t="s">
        <v>912</v>
      </c>
      <c r="B889" s="14" t="s">
        <v>18</v>
      </c>
      <c r="C889" s="15">
        <v>90.09</v>
      </c>
      <c r="D889" s="13" t="s">
        <v>19</v>
      </c>
      <c r="E889" s="15">
        <v>85.06</v>
      </c>
      <c r="F889" s="15">
        <v>5.0</v>
      </c>
      <c r="G889" s="15">
        <v>1.0</v>
      </c>
      <c r="H889" s="15">
        <v>4.0</v>
      </c>
      <c r="I889" s="16">
        <v>0.0</v>
      </c>
      <c r="J889" s="17">
        <f>IFERROR(__xludf.DUMMYFUNCTION("INDEX(GOOGLEFINANCE(A889, ""open"", $J$1, $J$1), 2, 2)"),87.67)</f>
        <v>87.67</v>
      </c>
      <c r="K889" s="17">
        <f>IFERROR(__xludf.DUMMYFUNCTION("INDEX(GOOGLEFINANCE(A889, ""close"", $K$1, $K$1), 2, 2)"),80.53)</f>
        <v>80.53</v>
      </c>
      <c r="L889" s="8">
        <f t="shared" si="1"/>
        <v>-8.144177027</v>
      </c>
      <c r="M889" s="18">
        <f t="shared" si="2"/>
        <v>-81.44177027</v>
      </c>
      <c r="N889" s="18" t="str">
        <f t="shared" si="3"/>
        <v>Put Spread</v>
      </c>
      <c r="O889" s="18" t="str">
        <f t="shared" si="4"/>
        <v>No</v>
      </c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</row>
    <row r="890">
      <c r="A890" s="13" t="s">
        <v>913</v>
      </c>
      <c r="B890" s="14" t="s">
        <v>18</v>
      </c>
      <c r="C890" s="15">
        <v>137.11</v>
      </c>
      <c r="D890" s="13" t="s">
        <v>19</v>
      </c>
      <c r="E890" s="15">
        <v>128.03</v>
      </c>
      <c r="F890" s="15">
        <v>5.0</v>
      </c>
      <c r="G890" s="15">
        <v>3.0</v>
      </c>
      <c r="H890" s="15">
        <v>4.0</v>
      </c>
      <c r="I890" s="16">
        <v>0.0</v>
      </c>
      <c r="J890" s="17">
        <f>IFERROR(__xludf.DUMMYFUNCTION("INDEX(GOOGLEFINANCE(A890, ""open"", $J$1, $J$1), 2, 2)"),132.55)</f>
        <v>132.55</v>
      </c>
      <c r="K890" s="17">
        <f>IFERROR(__xludf.DUMMYFUNCTION("INDEX(GOOGLEFINANCE(A890, ""close"", $K$1, $K$1), 2, 2)"),142.18)</f>
        <v>142.18</v>
      </c>
      <c r="L890" s="8">
        <f t="shared" si="1"/>
        <v>7.26518295</v>
      </c>
      <c r="M890" s="18">
        <f t="shared" si="2"/>
        <v>72.6518295</v>
      </c>
      <c r="N890" s="18" t="str">
        <f t="shared" si="3"/>
        <v>Put Spread</v>
      </c>
      <c r="O890" s="18" t="str">
        <f t="shared" si="4"/>
        <v>Success</v>
      </c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</row>
    <row r="891">
      <c r="A891" s="13" t="s">
        <v>914</v>
      </c>
      <c r="B891" s="14" t="s">
        <v>18</v>
      </c>
      <c r="C891" s="15">
        <v>86.18</v>
      </c>
      <c r="D891" s="13" t="s">
        <v>19</v>
      </c>
      <c r="E891" s="15">
        <v>75.3</v>
      </c>
      <c r="F891" s="15">
        <v>3.0</v>
      </c>
      <c r="G891" s="15">
        <v>3.0</v>
      </c>
      <c r="H891" s="15">
        <v>4.0</v>
      </c>
      <c r="I891" s="16">
        <v>0.0</v>
      </c>
      <c r="J891" s="17">
        <f>IFERROR(__xludf.DUMMYFUNCTION("INDEX(GOOGLEFINANCE(A891, ""open"", $J$1, $J$1), 2, 2)"),81.2)</f>
        <v>81.2</v>
      </c>
      <c r="K891" s="17">
        <f>IFERROR(__xludf.DUMMYFUNCTION("INDEX(GOOGLEFINANCE(A891, ""close"", $K$1, $K$1), 2, 2)"),74.03)</f>
        <v>74.03</v>
      </c>
      <c r="L891" s="8">
        <f t="shared" si="1"/>
        <v>-8.830049261</v>
      </c>
      <c r="M891" s="18">
        <f t="shared" si="2"/>
        <v>-88.30049261</v>
      </c>
      <c r="N891" s="18" t="str">
        <f t="shared" si="3"/>
        <v>Put Spread</v>
      </c>
      <c r="O891" s="18" t="str">
        <f t="shared" si="4"/>
        <v>No</v>
      </c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</row>
    <row r="892">
      <c r="A892" s="13" t="s">
        <v>915</v>
      </c>
      <c r="B892" s="14" t="s">
        <v>18</v>
      </c>
      <c r="C892" s="15">
        <v>29.18</v>
      </c>
      <c r="D892" s="13" t="s">
        <v>19</v>
      </c>
      <c r="E892" s="15">
        <v>23.74</v>
      </c>
      <c r="F892" s="15">
        <v>4.0</v>
      </c>
      <c r="G892" s="15">
        <v>2.0</v>
      </c>
      <c r="H892" s="15">
        <v>0.0</v>
      </c>
      <c r="I892" s="16">
        <v>0.0</v>
      </c>
      <c r="J892" s="17">
        <f>IFERROR(__xludf.DUMMYFUNCTION("INDEX(GOOGLEFINANCE(A892, ""open"", $J$1, $J$1), 2, 2)"),26.43)</f>
        <v>26.43</v>
      </c>
      <c r="K892" s="17">
        <f>IFERROR(__xludf.DUMMYFUNCTION("INDEX(GOOGLEFINANCE(A892, ""close"", $K$1, $K$1), 2, 2)"),30.55)</f>
        <v>30.55</v>
      </c>
      <c r="L892" s="8">
        <f t="shared" si="1"/>
        <v>15.58834658</v>
      </c>
      <c r="M892" s="18">
        <f t="shared" si="2"/>
        <v>155.8834658</v>
      </c>
      <c r="N892" s="18" t="str">
        <f t="shared" si="3"/>
        <v>Put Spread</v>
      </c>
      <c r="O892" s="18" t="str">
        <f t="shared" si="4"/>
        <v>Success</v>
      </c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</row>
    <row r="893">
      <c r="A893" s="13" t="s">
        <v>916</v>
      </c>
      <c r="B893" s="14" t="s">
        <v>18</v>
      </c>
      <c r="C893" s="15">
        <v>22.74</v>
      </c>
      <c r="D893" s="13" t="s">
        <v>19</v>
      </c>
      <c r="E893" s="15">
        <v>21.32</v>
      </c>
      <c r="F893" s="15">
        <v>2.0</v>
      </c>
      <c r="G893" s="15">
        <v>2.0</v>
      </c>
      <c r="H893" s="15">
        <v>2.0</v>
      </c>
      <c r="I893" s="16">
        <v>3.9995307871281</v>
      </c>
      <c r="J893" s="17">
        <f>IFERROR(__xludf.DUMMYFUNCTION("INDEX(GOOGLEFINANCE(A893, ""open"", $J$1, $J$1), 2, 2)"),21.93)</f>
        <v>21.93</v>
      </c>
      <c r="K893" s="17">
        <f>IFERROR(__xludf.DUMMYFUNCTION("INDEX(GOOGLEFINANCE(A893, ""close"", $K$1, $K$1), 2, 2)"),22.07)</f>
        <v>22.07</v>
      </c>
      <c r="L893" s="8">
        <f t="shared" si="1"/>
        <v>0.6383948928</v>
      </c>
      <c r="M893" s="18">
        <f t="shared" si="2"/>
        <v>6.383948928</v>
      </c>
      <c r="N893" s="18" t="str">
        <f t="shared" si="3"/>
        <v>Put Spread</v>
      </c>
      <c r="O893" s="18" t="str">
        <f t="shared" si="4"/>
        <v>Success</v>
      </c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</row>
    <row r="894">
      <c r="A894" s="13" t="s">
        <v>917</v>
      </c>
      <c r="B894" s="14" t="s">
        <v>18</v>
      </c>
      <c r="C894" s="15">
        <v>44.97</v>
      </c>
      <c r="D894" s="13" t="s">
        <v>19</v>
      </c>
      <c r="E894" s="15">
        <v>42.51</v>
      </c>
      <c r="F894" s="15">
        <v>4.0</v>
      </c>
      <c r="G894" s="15">
        <v>1.0</v>
      </c>
      <c r="H894" s="15">
        <v>3.0</v>
      </c>
      <c r="I894" s="16">
        <v>-4.5991969</v>
      </c>
      <c r="J894" s="17">
        <f>IFERROR(__xludf.DUMMYFUNCTION("INDEX(GOOGLEFINANCE(A894, ""open"", $J$1, $J$1), 2, 2)"),44.01)</f>
        <v>44.01</v>
      </c>
      <c r="K894" s="17">
        <f>IFERROR(__xludf.DUMMYFUNCTION("INDEX(GOOGLEFINANCE(A894, ""close"", $K$1, $K$1), 2, 2)"),43.67)</f>
        <v>43.67</v>
      </c>
      <c r="L894" s="8">
        <f t="shared" si="1"/>
        <v>-0.7725516928</v>
      </c>
      <c r="M894" s="18">
        <f t="shared" si="2"/>
        <v>-7.725516928</v>
      </c>
      <c r="N894" s="18" t="str">
        <f t="shared" si="3"/>
        <v>Put Spread</v>
      </c>
      <c r="O894" s="18" t="str">
        <f t="shared" si="4"/>
        <v>Success</v>
      </c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</row>
    <row r="895">
      <c r="A895" s="13" t="s">
        <v>918</v>
      </c>
      <c r="B895" s="14" t="s">
        <v>18</v>
      </c>
      <c r="C895" s="15">
        <v>51.31</v>
      </c>
      <c r="D895" s="13" t="s">
        <v>19</v>
      </c>
      <c r="E895" s="15">
        <v>42.61</v>
      </c>
      <c r="F895" s="15">
        <v>3.0</v>
      </c>
      <c r="G895" s="15">
        <v>1.0</v>
      </c>
      <c r="H895" s="15">
        <v>5.0</v>
      </c>
      <c r="I895" s="16">
        <v>0.0</v>
      </c>
      <c r="J895" s="17">
        <f>IFERROR(__xludf.DUMMYFUNCTION("INDEX(GOOGLEFINANCE(A895, ""open"", $J$1, $J$1), 2, 2)"),47.0)</f>
        <v>47</v>
      </c>
      <c r="K895" s="17">
        <f>IFERROR(__xludf.DUMMYFUNCTION("INDEX(GOOGLEFINANCE(A895, ""close"", $K$1, $K$1), 2, 2)"),40.54)</f>
        <v>40.54</v>
      </c>
      <c r="L895" s="8">
        <f t="shared" si="1"/>
        <v>-13.74468085</v>
      </c>
      <c r="M895" s="18">
        <f t="shared" si="2"/>
        <v>-137.4468085</v>
      </c>
      <c r="N895" s="18" t="str">
        <f t="shared" si="3"/>
        <v>Put Spread</v>
      </c>
      <c r="O895" s="18" t="str">
        <f t="shared" si="4"/>
        <v>No</v>
      </c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</row>
    <row r="896">
      <c r="A896" s="13" t="s">
        <v>919</v>
      </c>
      <c r="B896" s="14" t="s">
        <v>18</v>
      </c>
      <c r="C896" s="15">
        <v>35.65</v>
      </c>
      <c r="D896" s="13" t="s">
        <v>19</v>
      </c>
      <c r="E896" s="15">
        <v>30.67</v>
      </c>
      <c r="F896" s="15">
        <v>5.0</v>
      </c>
      <c r="G896" s="15">
        <v>3.0</v>
      </c>
      <c r="H896" s="15">
        <v>4.0</v>
      </c>
      <c r="I896" s="16">
        <v>0.0</v>
      </c>
      <c r="J896" s="17">
        <f>IFERROR(__xludf.DUMMYFUNCTION("INDEX(GOOGLEFINANCE(A896, ""open"", $J$1, $J$1), 2, 2)"),33.17)</f>
        <v>33.17</v>
      </c>
      <c r="K896" s="17">
        <f>IFERROR(__xludf.DUMMYFUNCTION("INDEX(GOOGLEFINANCE(A896, ""close"", $K$1, $K$1), 2, 2)"),33.11)</f>
        <v>33.11</v>
      </c>
      <c r="L896" s="8">
        <f t="shared" si="1"/>
        <v>-0.1808863431</v>
      </c>
      <c r="M896" s="18">
        <f t="shared" si="2"/>
        <v>-1.808863431</v>
      </c>
      <c r="N896" s="18" t="str">
        <f t="shared" si="3"/>
        <v>Put Spread</v>
      </c>
      <c r="O896" s="18" t="str">
        <f t="shared" si="4"/>
        <v>Success</v>
      </c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</row>
    <row r="897">
      <c r="A897" s="13" t="s">
        <v>920</v>
      </c>
      <c r="B897" s="14" t="s">
        <v>18</v>
      </c>
      <c r="C897" s="15">
        <v>151.07</v>
      </c>
      <c r="D897" s="13" t="s">
        <v>19</v>
      </c>
      <c r="E897" s="15">
        <v>142.33</v>
      </c>
      <c r="F897" s="15">
        <v>5.0</v>
      </c>
      <c r="G897" s="15">
        <v>4.0</v>
      </c>
      <c r="H897" s="15">
        <v>1.0</v>
      </c>
      <c r="I897" s="16">
        <v>0.0</v>
      </c>
      <c r="J897" s="17">
        <f>IFERROR(__xludf.DUMMYFUNCTION("INDEX(GOOGLEFINANCE(A897, ""open"", $J$1, $J$1), 2, 2)"),145.84)</f>
        <v>145.84</v>
      </c>
      <c r="K897" s="17">
        <f>IFERROR(__xludf.DUMMYFUNCTION("INDEX(GOOGLEFINANCE(A897, ""close"", $K$1, $K$1), 2, 2)"),145.36)</f>
        <v>145.36</v>
      </c>
      <c r="L897" s="8">
        <f t="shared" si="1"/>
        <v>-0.3291278113</v>
      </c>
      <c r="M897" s="18">
        <f t="shared" si="2"/>
        <v>-3.291278113</v>
      </c>
      <c r="N897" s="18" t="str">
        <f t="shared" si="3"/>
        <v>Put Spread</v>
      </c>
      <c r="O897" s="18" t="str">
        <f t="shared" si="4"/>
        <v>Success</v>
      </c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</row>
    <row r="898">
      <c r="A898" s="13" t="s">
        <v>921</v>
      </c>
      <c r="B898" s="14" t="s">
        <v>18</v>
      </c>
      <c r="C898" s="15">
        <v>86.16</v>
      </c>
      <c r="D898" s="13" t="s">
        <v>19</v>
      </c>
      <c r="E898" s="15">
        <v>76.16</v>
      </c>
      <c r="F898" s="15">
        <v>4.0</v>
      </c>
      <c r="G898" s="15">
        <v>3.0</v>
      </c>
      <c r="H898" s="15">
        <v>4.0</v>
      </c>
      <c r="I898" s="16">
        <v>-0.7443377</v>
      </c>
      <c r="J898" s="17">
        <f>IFERROR(__xludf.DUMMYFUNCTION("INDEX(GOOGLEFINANCE(A898, ""open"", $J$1, $J$1), 2, 2)"),81.5)</f>
        <v>81.5</v>
      </c>
      <c r="K898" s="17">
        <f>IFERROR(__xludf.DUMMYFUNCTION("INDEX(GOOGLEFINANCE(A898, ""close"", $K$1, $K$1), 2, 2)"),80.24)</f>
        <v>80.24</v>
      </c>
      <c r="L898" s="8">
        <f t="shared" si="1"/>
        <v>-1.54601227</v>
      </c>
      <c r="M898" s="18">
        <f t="shared" si="2"/>
        <v>-15.4601227</v>
      </c>
      <c r="N898" s="18" t="str">
        <f t="shared" si="3"/>
        <v>Put Spread</v>
      </c>
      <c r="O898" s="18" t="str">
        <f t="shared" si="4"/>
        <v>Success</v>
      </c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</row>
    <row r="899">
      <c r="A899" s="13" t="s">
        <v>922</v>
      </c>
      <c r="B899" s="14" t="s">
        <v>18</v>
      </c>
      <c r="C899" s="15">
        <v>101.13</v>
      </c>
      <c r="D899" s="13" t="s">
        <v>19</v>
      </c>
      <c r="E899" s="15">
        <v>93.97</v>
      </c>
      <c r="F899" s="15">
        <v>4.0</v>
      </c>
      <c r="G899" s="15">
        <v>2.0</v>
      </c>
      <c r="H899" s="15">
        <v>3.0</v>
      </c>
      <c r="I899" s="16">
        <v>0.0</v>
      </c>
      <c r="J899" s="17">
        <f>IFERROR(__xludf.DUMMYFUNCTION("INDEX(GOOGLEFINANCE(A899, ""open"", $J$1, $J$1), 2, 2)"),96.91)</f>
        <v>96.91</v>
      </c>
      <c r="K899" s="17">
        <f>IFERROR(__xludf.DUMMYFUNCTION("INDEX(GOOGLEFINANCE(A899, ""close"", $K$1, $K$1), 2, 2)"),90.62)</f>
        <v>90.62</v>
      </c>
      <c r="L899" s="8">
        <f t="shared" si="1"/>
        <v>-6.49055825</v>
      </c>
      <c r="M899" s="18">
        <f t="shared" si="2"/>
        <v>-64.9055825</v>
      </c>
      <c r="N899" s="18" t="str">
        <f t="shared" si="3"/>
        <v>Put Spread</v>
      </c>
      <c r="O899" s="18" t="str">
        <f t="shared" si="4"/>
        <v>No</v>
      </c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</row>
    <row r="900">
      <c r="A900" s="13" t="s">
        <v>923</v>
      </c>
      <c r="B900" s="14" t="s">
        <v>18</v>
      </c>
      <c r="C900" s="15">
        <v>353.6</v>
      </c>
      <c r="D900" s="13" t="s">
        <v>19</v>
      </c>
      <c r="E900" s="15">
        <v>317.78</v>
      </c>
      <c r="F900" s="15">
        <v>5.0</v>
      </c>
      <c r="G900" s="15">
        <v>2.0</v>
      </c>
      <c r="H900" s="15">
        <v>4.0</v>
      </c>
      <c r="I900" s="16">
        <v>-2.2151929</v>
      </c>
      <c r="J900" s="17">
        <f>IFERROR(__xludf.DUMMYFUNCTION("INDEX(GOOGLEFINANCE(A900, ""open"", $J$1, $J$1), 2, 2)"),337.8)</f>
        <v>337.8</v>
      </c>
      <c r="K900" s="17">
        <f>IFERROR(__xludf.DUMMYFUNCTION("INDEX(GOOGLEFINANCE(A900, ""close"", $K$1, $K$1), 2, 2)"),335.24)</f>
        <v>335.24</v>
      </c>
      <c r="L900" s="8">
        <f t="shared" si="1"/>
        <v>-0.7578448786</v>
      </c>
      <c r="M900" s="18">
        <f t="shared" si="2"/>
        <v>-7.578448786</v>
      </c>
      <c r="N900" s="18" t="str">
        <f t="shared" si="3"/>
        <v>Put Spread</v>
      </c>
      <c r="O900" s="18" t="str">
        <f t="shared" si="4"/>
        <v>Success</v>
      </c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</row>
    <row r="901">
      <c r="A901" s="13" t="s">
        <v>924</v>
      </c>
      <c r="B901" s="14" t="s">
        <v>18</v>
      </c>
      <c r="C901" s="15">
        <v>18.31</v>
      </c>
      <c r="D901" s="13" t="s">
        <v>19</v>
      </c>
      <c r="E901" s="15">
        <v>15.15</v>
      </c>
      <c r="F901" s="15">
        <v>4.0</v>
      </c>
      <c r="G901" s="15">
        <v>3.0</v>
      </c>
      <c r="H901" s="15">
        <v>4.0</v>
      </c>
      <c r="I901" s="16">
        <v>2.03369946938652</v>
      </c>
      <c r="J901" s="17">
        <f>IFERROR(__xludf.DUMMYFUNCTION("INDEX(GOOGLEFINANCE(A901, ""open"", $J$1, $J$1), 2, 2)"),16.57)</f>
        <v>16.57</v>
      </c>
      <c r="K901" s="17">
        <f>IFERROR(__xludf.DUMMYFUNCTION("INDEX(GOOGLEFINANCE(A901, ""close"", $K$1, $K$1), 2, 2)"),15.42)</f>
        <v>15.42</v>
      </c>
      <c r="L901" s="8">
        <f t="shared" si="1"/>
        <v>-6.94025347</v>
      </c>
      <c r="M901" s="18">
        <f t="shared" si="2"/>
        <v>-69.4025347</v>
      </c>
      <c r="N901" s="18" t="str">
        <f t="shared" si="3"/>
        <v>Put Spread</v>
      </c>
      <c r="O901" s="18" t="str">
        <f t="shared" si="4"/>
        <v>Success</v>
      </c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</row>
    <row r="902">
      <c r="A902" s="13" t="s">
        <v>925</v>
      </c>
      <c r="B902" s="26" t="s">
        <v>47</v>
      </c>
      <c r="C902" s="15">
        <v>53.32</v>
      </c>
      <c r="D902" s="13" t="s">
        <v>48</v>
      </c>
      <c r="E902" s="15">
        <v>57.44</v>
      </c>
      <c r="F902" s="15">
        <v>2.0</v>
      </c>
      <c r="G902" s="15">
        <v>2.0</v>
      </c>
      <c r="H902" s="15">
        <v>3.0</v>
      </c>
      <c r="I902" s="16">
        <v>1.08357870800625</v>
      </c>
      <c r="J902" s="17">
        <f>IFERROR(__xludf.DUMMYFUNCTION("INDEX(GOOGLEFINANCE(A902, ""open"", $J$1, $J$1), 2, 2)"),55.53)</f>
        <v>55.53</v>
      </c>
      <c r="K902" s="17">
        <f>IFERROR(__xludf.DUMMYFUNCTION("INDEX(GOOGLEFINANCE(A902, ""close"", $K$1, $K$1), 2, 2)"),52.08)</f>
        <v>52.08</v>
      </c>
      <c r="L902" s="8">
        <f t="shared" si="1"/>
        <v>6.212857915</v>
      </c>
      <c r="M902" s="18">
        <f t="shared" si="2"/>
        <v>62.12857915</v>
      </c>
      <c r="N902" s="18" t="str">
        <f t="shared" si="3"/>
        <v>Call Spread</v>
      </c>
      <c r="O902" s="18" t="str">
        <f t="shared" si="4"/>
        <v>Success</v>
      </c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</row>
    <row r="903">
      <c r="A903" s="13" t="s">
        <v>926</v>
      </c>
      <c r="B903" s="14" t="s">
        <v>18</v>
      </c>
      <c r="C903" s="15">
        <v>78.17</v>
      </c>
      <c r="D903" s="13" t="s">
        <v>19</v>
      </c>
      <c r="E903" s="15">
        <v>71.47</v>
      </c>
      <c r="F903" s="15">
        <v>3.0</v>
      </c>
      <c r="G903" s="15">
        <v>4.0</v>
      </c>
      <c r="H903" s="15">
        <v>1.0</v>
      </c>
      <c r="I903" s="16">
        <v>0.0</v>
      </c>
      <c r="J903" s="17">
        <f>IFERROR(__xludf.DUMMYFUNCTION("INDEX(GOOGLEFINANCE(A903, ""open"", $J$1, $J$1), 2, 2)"),75.0)</f>
        <v>75</v>
      </c>
      <c r="K903" s="17">
        <f>IFERROR(__xludf.DUMMYFUNCTION("INDEX(GOOGLEFINANCE(A903, ""close"", $K$1, $K$1), 2, 2)"),70.97)</f>
        <v>70.97</v>
      </c>
      <c r="L903" s="8">
        <f t="shared" si="1"/>
        <v>-5.373333333</v>
      </c>
      <c r="M903" s="18">
        <f t="shared" si="2"/>
        <v>-53.73333333</v>
      </c>
      <c r="N903" s="18" t="str">
        <f t="shared" si="3"/>
        <v>Put Spread</v>
      </c>
      <c r="O903" s="18" t="str">
        <f t="shared" si="4"/>
        <v>No</v>
      </c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</row>
    <row r="904">
      <c r="A904" s="13" t="s">
        <v>927</v>
      </c>
      <c r="B904" s="14" t="s">
        <v>18</v>
      </c>
      <c r="C904" s="15">
        <v>65.78</v>
      </c>
      <c r="D904" s="13" t="s">
        <v>19</v>
      </c>
      <c r="E904" s="15">
        <v>62.6</v>
      </c>
      <c r="F904" s="15">
        <v>5.0</v>
      </c>
      <c r="G904" s="15">
        <v>0.0</v>
      </c>
      <c r="H904" s="15">
        <v>2.0</v>
      </c>
      <c r="I904" s="16">
        <v>0.0</v>
      </c>
      <c r="J904" s="17">
        <f>IFERROR(__xludf.DUMMYFUNCTION("INDEX(GOOGLEFINANCE(A904, ""open"", $J$1, $J$1), 2, 2)"),63.62)</f>
        <v>63.62</v>
      </c>
      <c r="K904" s="17">
        <f>IFERROR(__xludf.DUMMYFUNCTION("INDEX(GOOGLEFINANCE(A904, ""close"", $K$1, $K$1), 2, 2)"),66.06)</f>
        <v>66.06</v>
      </c>
      <c r="L904" s="8">
        <f t="shared" si="1"/>
        <v>3.835271927</v>
      </c>
      <c r="M904" s="18">
        <f t="shared" si="2"/>
        <v>38.35271927</v>
      </c>
      <c r="N904" s="18" t="str">
        <f t="shared" si="3"/>
        <v>Put Spread</v>
      </c>
      <c r="O904" s="18" t="str">
        <f t="shared" si="4"/>
        <v>Success</v>
      </c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</row>
    <row r="905">
      <c r="A905" s="13" t="s">
        <v>928</v>
      </c>
      <c r="B905" s="14" t="s">
        <v>18</v>
      </c>
      <c r="C905" s="15">
        <v>303.87</v>
      </c>
      <c r="D905" s="13" t="s">
        <v>19</v>
      </c>
      <c r="E905" s="15">
        <v>268.5</v>
      </c>
      <c r="F905" s="15">
        <v>2.0</v>
      </c>
      <c r="G905" s="15">
        <v>2.0</v>
      </c>
      <c r="H905" s="15">
        <v>2.0</v>
      </c>
      <c r="I905" s="16">
        <v>-0.650423</v>
      </c>
      <c r="J905" s="17">
        <f>IFERROR(__xludf.DUMMYFUNCTION("INDEX(GOOGLEFINANCE(A905, ""open"", $J$1, $J$1), 2, 2)"),288.11)</f>
        <v>288.11</v>
      </c>
      <c r="K905" s="17">
        <f>IFERROR(__xludf.DUMMYFUNCTION("INDEX(GOOGLEFINANCE(A905, ""close"", $K$1, $K$1), 2, 2)"),280.27)</f>
        <v>280.27</v>
      </c>
      <c r="L905" s="8">
        <f t="shared" si="1"/>
        <v>-2.721182882</v>
      </c>
      <c r="M905" s="18">
        <f t="shared" si="2"/>
        <v>-27.21182882</v>
      </c>
      <c r="N905" s="18" t="str">
        <f t="shared" si="3"/>
        <v>Put Spread</v>
      </c>
      <c r="O905" s="18" t="str">
        <f t="shared" si="4"/>
        <v>Success</v>
      </c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</row>
    <row r="906">
      <c r="A906" s="13" t="s">
        <v>929</v>
      </c>
      <c r="B906" s="26" t="s">
        <v>47</v>
      </c>
      <c r="C906" s="15">
        <v>146.06</v>
      </c>
      <c r="D906" s="13" t="s">
        <v>48</v>
      </c>
      <c r="E906" s="15">
        <v>158.18</v>
      </c>
      <c r="F906" s="15">
        <v>0.0</v>
      </c>
      <c r="G906" s="15">
        <v>2.0</v>
      </c>
      <c r="H906" s="15">
        <v>1.0</v>
      </c>
      <c r="I906" s="16">
        <v>0.0</v>
      </c>
      <c r="J906" s="17">
        <f>IFERROR(__xludf.DUMMYFUNCTION("INDEX(GOOGLEFINANCE(A906, ""open"", $J$1, $J$1), 2, 2)"),152.27)</f>
        <v>152.27</v>
      </c>
      <c r="K906" s="17">
        <f>IFERROR(__xludf.DUMMYFUNCTION("INDEX(GOOGLEFINANCE(A906, ""close"", $K$1, $K$1), 2, 2)"),147.38)</f>
        <v>147.38</v>
      </c>
      <c r="L906" s="8">
        <f t="shared" si="1"/>
        <v>3.211400801</v>
      </c>
      <c r="M906" s="18">
        <f t="shared" si="2"/>
        <v>32.11400801</v>
      </c>
      <c r="N906" s="18" t="str">
        <f t="shared" si="3"/>
        <v>Call Spread</v>
      </c>
      <c r="O906" s="18" t="str">
        <f t="shared" si="4"/>
        <v>Success</v>
      </c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</row>
    <row r="907">
      <c r="A907" s="27"/>
      <c r="B907" s="27"/>
      <c r="C907" s="27"/>
      <c r="D907" s="27"/>
      <c r="E907" s="27"/>
      <c r="F907" s="27"/>
      <c r="G907" s="27"/>
      <c r="H907" s="27"/>
      <c r="I907" s="28"/>
      <c r="J907" s="17"/>
      <c r="K907" s="17"/>
      <c r="L907" s="8"/>
      <c r="M907" s="18"/>
      <c r="N907" s="18"/>
      <c r="O907" s="18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</row>
    <row r="908">
      <c r="A908" s="27"/>
      <c r="B908" s="27"/>
      <c r="C908" s="27"/>
      <c r="D908" s="27"/>
      <c r="E908" s="27"/>
      <c r="F908" s="27"/>
      <c r="G908" s="27"/>
      <c r="H908" s="27"/>
      <c r="I908" s="28"/>
      <c r="J908" s="29"/>
      <c r="K908" s="29"/>
      <c r="L908" s="30"/>
      <c r="M908" s="30"/>
      <c r="N908" s="30"/>
      <c r="O908" s="30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</row>
    <row r="909">
      <c r="A909" s="27"/>
      <c r="B909" s="27"/>
      <c r="C909" s="27"/>
      <c r="D909" s="27"/>
      <c r="E909" s="27"/>
      <c r="F909" s="27"/>
      <c r="G909" s="27"/>
      <c r="H909" s="27"/>
      <c r="I909" s="28"/>
      <c r="J909" s="29"/>
      <c r="K909" s="29"/>
      <c r="L909" s="30"/>
      <c r="M909" s="30"/>
      <c r="N909" s="30"/>
      <c r="O909" s="30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</row>
    <row r="910">
      <c r="A910" s="27"/>
      <c r="B910" s="27"/>
      <c r="C910" s="27"/>
      <c r="D910" s="27"/>
      <c r="E910" s="27"/>
      <c r="F910" s="27"/>
      <c r="G910" s="27"/>
      <c r="H910" s="27"/>
      <c r="I910" s="28"/>
      <c r="J910" s="29"/>
      <c r="K910" s="29"/>
      <c r="L910" s="30"/>
      <c r="M910" s="30"/>
      <c r="N910" s="30"/>
      <c r="O910" s="30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</row>
    <row r="911">
      <c r="A911" s="27"/>
      <c r="B911" s="27"/>
      <c r="C911" s="27"/>
      <c r="D911" s="27"/>
      <c r="E911" s="27"/>
      <c r="F911" s="27"/>
      <c r="G911" s="27"/>
      <c r="H911" s="27"/>
      <c r="I911" s="28"/>
      <c r="J911" s="29"/>
      <c r="K911" s="29"/>
      <c r="L911" s="30"/>
      <c r="M911" s="30"/>
      <c r="N911" s="30"/>
      <c r="O911" s="30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</row>
    <row r="912">
      <c r="A912" s="27"/>
      <c r="B912" s="27"/>
      <c r="C912" s="27"/>
      <c r="D912" s="27"/>
      <c r="E912" s="27"/>
      <c r="F912" s="27"/>
      <c r="G912" s="27"/>
      <c r="H912" s="27"/>
      <c r="I912" s="28"/>
      <c r="J912" s="29"/>
      <c r="K912" s="29"/>
      <c r="L912" s="30"/>
      <c r="M912" s="30"/>
      <c r="N912" s="30"/>
      <c r="O912" s="30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</row>
    <row r="913">
      <c r="A913" s="27"/>
      <c r="B913" s="27"/>
      <c r="C913" s="27"/>
      <c r="D913" s="27"/>
      <c r="E913" s="27"/>
      <c r="F913" s="27"/>
      <c r="G913" s="27"/>
      <c r="H913" s="27"/>
      <c r="I913" s="28"/>
      <c r="J913" s="29"/>
      <c r="K913" s="29"/>
      <c r="L913" s="30"/>
      <c r="M913" s="30"/>
      <c r="N913" s="30"/>
      <c r="O913" s="30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</row>
    <row r="914">
      <c r="A914" s="27"/>
      <c r="B914" s="27"/>
      <c r="C914" s="27"/>
      <c r="D914" s="27"/>
      <c r="E914" s="27"/>
      <c r="F914" s="27"/>
      <c r="G914" s="27"/>
      <c r="H914" s="27"/>
      <c r="I914" s="28"/>
      <c r="J914" s="29"/>
      <c r="K914" s="29"/>
      <c r="L914" s="30"/>
      <c r="M914" s="30"/>
      <c r="N914" s="30"/>
      <c r="O914" s="30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</row>
    <row r="915">
      <c r="A915" s="27"/>
      <c r="B915" s="27"/>
      <c r="C915" s="27"/>
      <c r="D915" s="27"/>
      <c r="E915" s="27"/>
      <c r="F915" s="27"/>
      <c r="G915" s="27"/>
      <c r="H915" s="27"/>
      <c r="I915" s="28"/>
      <c r="J915" s="29"/>
      <c r="K915" s="29"/>
      <c r="L915" s="30"/>
      <c r="M915" s="30"/>
      <c r="N915" s="30"/>
      <c r="O915" s="30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</row>
    <row r="916">
      <c r="A916" s="27"/>
      <c r="B916" s="27"/>
      <c r="C916" s="27"/>
      <c r="D916" s="27"/>
      <c r="E916" s="27"/>
      <c r="F916" s="27"/>
      <c r="G916" s="27"/>
      <c r="H916" s="27"/>
      <c r="I916" s="28"/>
      <c r="J916" s="29"/>
      <c r="K916" s="29"/>
      <c r="L916" s="30"/>
      <c r="M916" s="30"/>
      <c r="N916" s="30"/>
      <c r="O916" s="30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</row>
    <row r="917">
      <c r="A917" s="27"/>
      <c r="B917" s="27"/>
      <c r="C917" s="27"/>
      <c r="D917" s="27"/>
      <c r="E917" s="27"/>
      <c r="F917" s="27"/>
      <c r="G917" s="27"/>
      <c r="H917" s="27"/>
      <c r="I917" s="28"/>
      <c r="J917" s="29"/>
      <c r="K917" s="29"/>
      <c r="L917" s="30"/>
      <c r="M917" s="30"/>
      <c r="N917" s="30"/>
      <c r="O917" s="30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</row>
    <row r="918">
      <c r="A918" s="27"/>
      <c r="B918" s="27"/>
      <c r="C918" s="27"/>
      <c r="D918" s="27"/>
      <c r="E918" s="27"/>
      <c r="F918" s="27"/>
      <c r="G918" s="27"/>
      <c r="H918" s="27"/>
      <c r="I918" s="28"/>
      <c r="J918" s="29"/>
      <c r="K918" s="29"/>
      <c r="L918" s="30"/>
      <c r="M918" s="30"/>
      <c r="N918" s="30"/>
      <c r="O918" s="30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</row>
    <row r="919">
      <c r="A919" s="3"/>
      <c r="B919" s="3"/>
      <c r="C919" s="3"/>
      <c r="D919" s="3"/>
      <c r="E919" s="3"/>
      <c r="F919" s="3"/>
      <c r="G919" s="3"/>
      <c r="H919" s="3"/>
      <c r="I919" s="5"/>
      <c r="J919" s="29"/>
      <c r="K919" s="29"/>
      <c r="L919" s="30"/>
      <c r="M919" s="30"/>
      <c r="N919" s="30"/>
      <c r="O919" s="30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</row>
    <row r="920">
      <c r="A920" s="3"/>
      <c r="B920" s="3"/>
      <c r="C920" s="3"/>
      <c r="D920" s="3"/>
      <c r="E920" s="3"/>
      <c r="F920" s="3"/>
      <c r="G920" s="3"/>
      <c r="H920" s="3"/>
      <c r="I920" s="5"/>
      <c r="J920" s="29"/>
      <c r="K920" s="29"/>
      <c r="L920" s="30"/>
      <c r="M920" s="30"/>
      <c r="N920" s="30"/>
      <c r="O920" s="30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</row>
    <row r="921">
      <c r="A921" s="3"/>
      <c r="B921" s="3"/>
      <c r="C921" s="3"/>
      <c r="D921" s="3"/>
      <c r="E921" s="3"/>
      <c r="F921" s="3"/>
      <c r="G921" s="3"/>
      <c r="H921" s="3"/>
      <c r="I921" s="5"/>
      <c r="J921" s="29"/>
      <c r="K921" s="29"/>
      <c r="L921" s="30"/>
      <c r="M921" s="30"/>
      <c r="N921" s="30"/>
      <c r="O921" s="30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</row>
    <row r="922">
      <c r="A922" s="3"/>
      <c r="B922" s="3"/>
      <c r="C922" s="3"/>
      <c r="D922" s="3"/>
      <c r="E922" s="3"/>
      <c r="F922" s="3"/>
      <c r="G922" s="3"/>
      <c r="H922" s="3"/>
      <c r="I922" s="5"/>
      <c r="J922" s="29"/>
      <c r="K922" s="29"/>
      <c r="L922" s="30"/>
      <c r="M922" s="30"/>
      <c r="N922" s="30"/>
      <c r="O922" s="30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</row>
    <row r="923">
      <c r="A923" s="3"/>
      <c r="B923" s="3"/>
      <c r="C923" s="3"/>
      <c r="D923" s="3"/>
      <c r="E923" s="3"/>
      <c r="F923" s="3"/>
      <c r="G923" s="3"/>
      <c r="H923" s="3"/>
      <c r="I923" s="5"/>
      <c r="J923" s="29"/>
      <c r="K923" s="29"/>
      <c r="L923" s="30"/>
      <c r="M923" s="30"/>
      <c r="N923" s="30"/>
      <c r="O923" s="30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</row>
    <row r="924">
      <c r="A924" s="3"/>
      <c r="B924" s="3"/>
      <c r="C924" s="3"/>
      <c r="D924" s="3"/>
      <c r="E924" s="3"/>
      <c r="F924" s="3"/>
      <c r="G924" s="3"/>
      <c r="H924" s="3"/>
      <c r="I924" s="5"/>
      <c r="J924" s="29"/>
      <c r="K924" s="29"/>
      <c r="L924" s="30"/>
      <c r="M924" s="30"/>
      <c r="N924" s="30"/>
      <c r="O924" s="30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</row>
    <row r="925">
      <c r="A925" s="3"/>
      <c r="B925" s="3"/>
      <c r="C925" s="3"/>
      <c r="D925" s="3"/>
      <c r="E925" s="3"/>
      <c r="F925" s="3"/>
      <c r="G925" s="3"/>
      <c r="H925" s="3"/>
      <c r="I925" s="5"/>
      <c r="J925" s="29"/>
      <c r="K925" s="29"/>
      <c r="L925" s="30"/>
      <c r="M925" s="30"/>
      <c r="N925" s="30"/>
      <c r="O925" s="30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</row>
    <row r="926">
      <c r="A926" s="3"/>
      <c r="B926" s="3"/>
      <c r="C926" s="3"/>
      <c r="D926" s="3"/>
      <c r="E926" s="3"/>
      <c r="F926" s="3"/>
      <c r="G926" s="3"/>
      <c r="H926" s="3"/>
      <c r="I926" s="5"/>
      <c r="J926" s="29"/>
      <c r="K926" s="29"/>
      <c r="L926" s="30"/>
      <c r="M926" s="30"/>
      <c r="N926" s="30"/>
      <c r="O926" s="30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</row>
    <row r="927">
      <c r="A927" s="3"/>
      <c r="B927" s="3"/>
      <c r="C927" s="3"/>
      <c r="D927" s="3"/>
      <c r="E927" s="3"/>
      <c r="F927" s="3"/>
      <c r="G927" s="3"/>
      <c r="H927" s="3"/>
      <c r="I927" s="5"/>
      <c r="J927" s="29"/>
      <c r="K927" s="29"/>
      <c r="L927" s="30"/>
      <c r="M927" s="30"/>
      <c r="N927" s="30"/>
      <c r="O927" s="30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</row>
    <row r="928">
      <c r="A928" s="3"/>
      <c r="B928" s="3"/>
      <c r="C928" s="3"/>
      <c r="D928" s="3"/>
      <c r="E928" s="3"/>
      <c r="F928" s="3"/>
      <c r="G928" s="3"/>
      <c r="H928" s="3"/>
      <c r="I928" s="5"/>
      <c r="J928" s="29"/>
      <c r="K928" s="29"/>
      <c r="L928" s="30"/>
      <c r="M928" s="30"/>
      <c r="N928" s="30"/>
      <c r="O928" s="30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</row>
    <row r="929">
      <c r="A929" s="3"/>
      <c r="B929" s="3"/>
      <c r="C929" s="3"/>
      <c r="D929" s="3"/>
      <c r="E929" s="3"/>
      <c r="F929" s="3"/>
      <c r="G929" s="3"/>
      <c r="H929" s="3"/>
      <c r="I929" s="5"/>
      <c r="J929" s="29"/>
      <c r="K929" s="29"/>
      <c r="L929" s="30"/>
      <c r="M929" s="30"/>
      <c r="N929" s="30"/>
      <c r="O929" s="30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</row>
    <row r="930">
      <c r="A930" s="3"/>
      <c r="B930" s="3"/>
      <c r="C930" s="3"/>
      <c r="D930" s="3"/>
      <c r="E930" s="3"/>
      <c r="F930" s="3"/>
      <c r="G930" s="3"/>
      <c r="H930" s="3"/>
      <c r="I930" s="5"/>
      <c r="J930" s="29"/>
      <c r="K930" s="29"/>
      <c r="L930" s="30"/>
      <c r="M930" s="30"/>
      <c r="N930" s="30"/>
      <c r="O930" s="30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</row>
    <row r="931">
      <c r="A931" s="3"/>
      <c r="B931" s="3"/>
      <c r="C931" s="3"/>
      <c r="D931" s="3"/>
      <c r="E931" s="3"/>
      <c r="F931" s="3"/>
      <c r="G931" s="3"/>
      <c r="H931" s="3"/>
      <c r="I931" s="5"/>
      <c r="J931" s="29"/>
      <c r="K931" s="29"/>
      <c r="L931" s="30"/>
      <c r="M931" s="30"/>
      <c r="N931" s="30"/>
      <c r="O931" s="30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</row>
    <row r="932">
      <c r="A932" s="3"/>
      <c r="B932" s="3"/>
      <c r="C932" s="3"/>
      <c r="D932" s="3"/>
      <c r="E932" s="3"/>
      <c r="F932" s="3"/>
      <c r="G932" s="3"/>
      <c r="H932" s="3"/>
      <c r="I932" s="5"/>
      <c r="J932" s="29"/>
      <c r="K932" s="29"/>
      <c r="L932" s="30"/>
      <c r="M932" s="30"/>
      <c r="N932" s="30"/>
      <c r="O932" s="30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</row>
    <row r="933">
      <c r="A933" s="3"/>
      <c r="B933" s="3"/>
      <c r="C933" s="3"/>
      <c r="D933" s="3"/>
      <c r="E933" s="3"/>
      <c r="F933" s="3"/>
      <c r="G933" s="3"/>
      <c r="H933" s="3"/>
      <c r="I933" s="5"/>
      <c r="J933" s="29"/>
      <c r="K933" s="29"/>
      <c r="L933" s="30"/>
      <c r="M933" s="30"/>
      <c r="N933" s="30"/>
      <c r="O933" s="30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</row>
    <row r="934">
      <c r="A934" s="3"/>
      <c r="B934" s="3"/>
      <c r="C934" s="3"/>
      <c r="D934" s="3"/>
      <c r="E934" s="3"/>
      <c r="F934" s="3"/>
      <c r="G934" s="3"/>
      <c r="H934" s="3"/>
      <c r="I934" s="5"/>
      <c r="J934" s="29"/>
      <c r="K934" s="29"/>
      <c r="L934" s="30"/>
      <c r="M934" s="30"/>
      <c r="N934" s="30"/>
      <c r="O934" s="30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</row>
    <row r="935">
      <c r="A935" s="3"/>
      <c r="B935" s="3"/>
      <c r="C935" s="3"/>
      <c r="D935" s="3"/>
      <c r="E935" s="3"/>
      <c r="F935" s="3"/>
      <c r="G935" s="3"/>
      <c r="H935" s="3"/>
      <c r="I935" s="5"/>
      <c r="J935" s="29"/>
      <c r="K935" s="29"/>
      <c r="L935" s="30"/>
      <c r="M935" s="30"/>
      <c r="N935" s="30"/>
      <c r="O935" s="30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</row>
    <row r="936">
      <c r="A936" s="3"/>
      <c r="B936" s="3"/>
      <c r="C936" s="3"/>
      <c r="D936" s="3"/>
      <c r="E936" s="3"/>
      <c r="F936" s="3"/>
      <c r="G936" s="3"/>
      <c r="H936" s="3"/>
      <c r="I936" s="5"/>
      <c r="J936" s="29"/>
      <c r="K936" s="29"/>
      <c r="L936" s="30"/>
      <c r="M936" s="30"/>
      <c r="N936" s="30"/>
      <c r="O936" s="30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</row>
    <row r="937">
      <c r="A937" s="3"/>
      <c r="B937" s="3"/>
      <c r="C937" s="3"/>
      <c r="D937" s="3"/>
      <c r="E937" s="3"/>
      <c r="F937" s="3"/>
      <c r="G937" s="3"/>
      <c r="H937" s="3"/>
      <c r="I937" s="5"/>
      <c r="J937" s="29"/>
      <c r="K937" s="29"/>
      <c r="L937" s="30"/>
      <c r="M937" s="30"/>
      <c r="N937" s="30"/>
      <c r="O937" s="30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</row>
    <row r="938">
      <c r="A938" s="3"/>
      <c r="B938" s="3"/>
      <c r="C938" s="3"/>
      <c r="D938" s="3"/>
      <c r="E938" s="3"/>
      <c r="F938" s="3"/>
      <c r="G938" s="3"/>
      <c r="H938" s="3"/>
      <c r="I938" s="5"/>
      <c r="J938" s="29"/>
      <c r="K938" s="29"/>
      <c r="L938" s="30"/>
      <c r="M938" s="30"/>
      <c r="N938" s="30"/>
      <c r="O938" s="30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</row>
    <row r="939">
      <c r="A939" s="3"/>
      <c r="B939" s="3"/>
      <c r="C939" s="3"/>
      <c r="D939" s="3"/>
      <c r="E939" s="3"/>
      <c r="F939" s="3"/>
      <c r="G939" s="3"/>
      <c r="H939" s="3"/>
      <c r="I939" s="5"/>
      <c r="J939" s="29"/>
      <c r="K939" s="29"/>
      <c r="L939" s="30"/>
      <c r="M939" s="30"/>
      <c r="N939" s="30"/>
      <c r="O939" s="30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</row>
    <row r="940">
      <c r="A940" s="3"/>
      <c r="B940" s="3"/>
      <c r="C940" s="3"/>
      <c r="D940" s="3"/>
      <c r="E940" s="3"/>
      <c r="F940" s="3"/>
      <c r="G940" s="3"/>
      <c r="H940" s="3"/>
      <c r="I940" s="5"/>
      <c r="J940" s="29"/>
      <c r="K940" s="29"/>
      <c r="L940" s="30"/>
      <c r="M940" s="30"/>
      <c r="N940" s="30"/>
      <c r="O940" s="30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</row>
    <row r="941">
      <c r="A941" s="3"/>
      <c r="B941" s="3"/>
      <c r="C941" s="3"/>
      <c r="D941" s="3"/>
      <c r="E941" s="3"/>
      <c r="F941" s="3"/>
      <c r="G941" s="3"/>
      <c r="H941" s="3"/>
      <c r="I941" s="5"/>
      <c r="J941" s="29"/>
      <c r="K941" s="29"/>
      <c r="L941" s="30"/>
      <c r="M941" s="30"/>
      <c r="N941" s="30"/>
      <c r="O941" s="30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</row>
    <row r="942">
      <c r="A942" s="3"/>
      <c r="B942" s="3"/>
      <c r="C942" s="3"/>
      <c r="D942" s="3"/>
      <c r="E942" s="3"/>
      <c r="F942" s="3"/>
      <c r="G942" s="3"/>
      <c r="H942" s="3"/>
      <c r="I942" s="5"/>
      <c r="J942" s="29"/>
      <c r="K942" s="29"/>
      <c r="L942" s="30"/>
      <c r="M942" s="30"/>
      <c r="N942" s="30"/>
      <c r="O942" s="30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</row>
    <row r="943">
      <c r="A943" s="3"/>
      <c r="B943" s="3"/>
      <c r="C943" s="3"/>
      <c r="D943" s="3"/>
      <c r="E943" s="3"/>
      <c r="F943" s="3"/>
      <c r="G943" s="3"/>
      <c r="H943" s="3"/>
      <c r="I943" s="5"/>
      <c r="J943" s="29"/>
      <c r="K943" s="29"/>
      <c r="L943" s="30"/>
      <c r="M943" s="30"/>
      <c r="N943" s="30"/>
      <c r="O943" s="30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</row>
    <row r="944">
      <c r="A944" s="3"/>
      <c r="B944" s="3"/>
      <c r="C944" s="3"/>
      <c r="D944" s="3"/>
      <c r="E944" s="3"/>
      <c r="F944" s="3"/>
      <c r="G944" s="3"/>
      <c r="H944" s="3"/>
      <c r="I944" s="5"/>
      <c r="J944" s="29"/>
      <c r="K944" s="29"/>
      <c r="L944" s="30"/>
      <c r="M944" s="30"/>
      <c r="N944" s="30"/>
      <c r="O944" s="30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</row>
    <row r="945">
      <c r="A945" s="3"/>
      <c r="B945" s="3"/>
      <c r="C945" s="3"/>
      <c r="D945" s="3"/>
      <c r="E945" s="3"/>
      <c r="F945" s="3"/>
      <c r="G945" s="3"/>
      <c r="H945" s="3"/>
      <c r="I945" s="5"/>
      <c r="J945" s="29"/>
      <c r="K945" s="29"/>
      <c r="L945" s="30"/>
      <c r="M945" s="30"/>
      <c r="N945" s="30"/>
      <c r="O945" s="30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</row>
    <row r="946">
      <c r="A946" s="3"/>
      <c r="B946" s="3"/>
      <c r="C946" s="3"/>
      <c r="D946" s="3"/>
      <c r="E946" s="3"/>
      <c r="F946" s="3"/>
      <c r="G946" s="3"/>
      <c r="H946" s="3"/>
      <c r="I946" s="5"/>
      <c r="J946" s="29"/>
      <c r="K946" s="29"/>
      <c r="L946" s="30"/>
      <c r="M946" s="30"/>
      <c r="N946" s="30"/>
      <c r="O946" s="30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</row>
    <row r="947">
      <c r="A947" s="3"/>
      <c r="B947" s="3"/>
      <c r="C947" s="3"/>
      <c r="D947" s="3"/>
      <c r="E947" s="3"/>
      <c r="F947" s="3"/>
      <c r="G947" s="3"/>
      <c r="H947" s="3"/>
      <c r="I947" s="5"/>
      <c r="J947" s="29"/>
      <c r="K947" s="29"/>
      <c r="L947" s="30"/>
      <c r="M947" s="30"/>
      <c r="N947" s="30"/>
      <c r="O947" s="30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</row>
    <row r="948">
      <c r="A948" s="3"/>
      <c r="B948" s="3"/>
      <c r="C948" s="3"/>
      <c r="D948" s="3"/>
      <c r="E948" s="3"/>
      <c r="F948" s="3"/>
      <c r="G948" s="3"/>
      <c r="H948" s="3"/>
      <c r="I948" s="5"/>
      <c r="J948" s="29"/>
      <c r="K948" s="29"/>
      <c r="L948" s="30"/>
      <c r="M948" s="30"/>
      <c r="N948" s="30"/>
      <c r="O948" s="30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</row>
    <row r="949">
      <c r="A949" s="3"/>
      <c r="B949" s="3"/>
      <c r="C949" s="3"/>
      <c r="D949" s="3"/>
      <c r="E949" s="3"/>
      <c r="F949" s="3"/>
      <c r="G949" s="3"/>
      <c r="H949" s="3"/>
      <c r="I949" s="5"/>
      <c r="J949" s="29"/>
      <c r="K949" s="29"/>
      <c r="L949" s="30"/>
      <c r="M949" s="30"/>
      <c r="N949" s="30"/>
      <c r="O949" s="30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</row>
    <row r="950">
      <c r="A950" s="3"/>
      <c r="B950" s="3"/>
      <c r="C950" s="3"/>
      <c r="D950" s="3"/>
      <c r="E950" s="3"/>
      <c r="F950" s="3"/>
      <c r="G950" s="3"/>
      <c r="H950" s="3"/>
      <c r="I950" s="5"/>
      <c r="J950" s="29"/>
      <c r="K950" s="29"/>
      <c r="L950" s="30"/>
      <c r="M950" s="30"/>
      <c r="N950" s="30"/>
      <c r="O950" s="30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</row>
    <row r="951">
      <c r="A951" s="3"/>
      <c r="B951" s="3"/>
      <c r="C951" s="3"/>
      <c r="D951" s="3"/>
      <c r="E951" s="3"/>
      <c r="F951" s="29"/>
      <c r="G951" s="29"/>
      <c r="H951" s="29"/>
      <c r="I951" s="30"/>
      <c r="J951" s="29"/>
      <c r="K951" s="29"/>
      <c r="L951" s="30"/>
      <c r="M951" s="30"/>
      <c r="N951" s="30"/>
      <c r="O951" s="30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</row>
    <row r="952">
      <c r="A952" s="3"/>
      <c r="B952" s="3"/>
      <c r="C952" s="3"/>
      <c r="D952" s="3"/>
      <c r="E952" s="3"/>
      <c r="F952" s="29"/>
      <c r="G952" s="29"/>
      <c r="H952" s="29"/>
      <c r="I952" s="30"/>
      <c r="J952" s="29"/>
      <c r="K952" s="29"/>
      <c r="L952" s="30"/>
      <c r="M952" s="30"/>
      <c r="N952" s="30"/>
      <c r="O952" s="30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</row>
    <row r="953">
      <c r="A953" s="3"/>
      <c r="B953" s="3"/>
      <c r="C953" s="3"/>
      <c r="D953" s="3"/>
      <c r="E953" s="3"/>
      <c r="F953" s="29"/>
      <c r="G953" s="29"/>
      <c r="H953" s="29"/>
      <c r="I953" s="30"/>
      <c r="J953" s="29"/>
      <c r="K953" s="29"/>
      <c r="L953" s="30"/>
      <c r="M953" s="30"/>
      <c r="N953" s="30"/>
      <c r="O953" s="30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</row>
    <row r="954">
      <c r="A954" s="3"/>
      <c r="B954" s="3"/>
      <c r="C954" s="3"/>
      <c r="D954" s="3"/>
      <c r="E954" s="3"/>
      <c r="F954" s="29"/>
      <c r="G954" s="29"/>
      <c r="H954" s="29"/>
      <c r="I954" s="30"/>
      <c r="J954" s="29"/>
      <c r="K954" s="29"/>
      <c r="L954" s="30"/>
      <c r="M954" s="30"/>
      <c r="N954" s="30"/>
      <c r="O954" s="30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</row>
    <row r="955">
      <c r="A955" s="3"/>
      <c r="B955" s="3"/>
      <c r="C955" s="3"/>
      <c r="D955" s="3"/>
      <c r="E955" s="3"/>
      <c r="F955" s="29"/>
      <c r="G955" s="29"/>
      <c r="H955" s="29"/>
      <c r="I955" s="30"/>
      <c r="J955" s="29"/>
      <c r="K955" s="29"/>
      <c r="L955" s="30"/>
      <c r="M955" s="30"/>
      <c r="N955" s="30"/>
      <c r="O955" s="30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</row>
    <row r="956">
      <c r="A956" s="3"/>
      <c r="B956" s="3"/>
      <c r="C956" s="3"/>
      <c r="D956" s="3"/>
      <c r="E956" s="3"/>
      <c r="F956" s="29"/>
      <c r="G956" s="29"/>
      <c r="H956" s="29"/>
      <c r="I956" s="30"/>
      <c r="J956" s="29"/>
      <c r="K956" s="29"/>
      <c r="L956" s="30"/>
      <c r="M956" s="30"/>
      <c r="N956" s="30"/>
      <c r="O956" s="30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</row>
    <row r="957">
      <c r="A957" s="3"/>
      <c r="B957" s="3"/>
      <c r="C957" s="3"/>
      <c r="D957" s="3"/>
      <c r="E957" s="3"/>
      <c r="F957" s="29"/>
      <c r="G957" s="29"/>
      <c r="H957" s="29"/>
      <c r="I957" s="30"/>
      <c r="J957" s="29"/>
      <c r="K957" s="29"/>
      <c r="L957" s="30"/>
      <c r="M957" s="30"/>
      <c r="N957" s="30"/>
      <c r="O957" s="30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</row>
    <row r="958">
      <c r="A958" s="3"/>
      <c r="B958" s="3"/>
      <c r="C958" s="3"/>
      <c r="D958" s="3"/>
      <c r="E958" s="3"/>
      <c r="F958" s="29"/>
      <c r="G958" s="29"/>
      <c r="H958" s="29"/>
      <c r="I958" s="30"/>
      <c r="J958" s="29"/>
      <c r="K958" s="29"/>
      <c r="L958" s="30"/>
      <c r="M958" s="30"/>
      <c r="N958" s="30"/>
      <c r="O958" s="30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</row>
    <row r="959">
      <c r="A959" s="3"/>
      <c r="B959" s="3"/>
      <c r="C959" s="3"/>
      <c r="D959" s="3"/>
      <c r="E959" s="3"/>
      <c r="F959" s="29"/>
      <c r="G959" s="29"/>
      <c r="H959" s="29"/>
      <c r="I959" s="30"/>
      <c r="J959" s="29"/>
      <c r="K959" s="29"/>
      <c r="L959" s="30"/>
      <c r="M959" s="30"/>
      <c r="N959" s="30"/>
      <c r="O959" s="30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</row>
    <row r="960">
      <c r="A960" s="3"/>
      <c r="B960" s="3"/>
      <c r="C960" s="3"/>
      <c r="D960" s="3"/>
      <c r="E960" s="3"/>
      <c r="F960" s="29"/>
      <c r="G960" s="29"/>
      <c r="H960" s="29"/>
      <c r="I960" s="30"/>
      <c r="J960" s="29"/>
      <c r="K960" s="29"/>
      <c r="L960" s="30"/>
      <c r="M960" s="30"/>
      <c r="N960" s="30"/>
      <c r="O960" s="30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</row>
    <row r="961">
      <c r="A961" s="3"/>
      <c r="B961" s="3"/>
      <c r="C961" s="3"/>
      <c r="D961" s="3"/>
      <c r="E961" s="3"/>
      <c r="F961" s="29"/>
      <c r="G961" s="29"/>
      <c r="H961" s="29"/>
      <c r="I961" s="30"/>
      <c r="J961" s="29"/>
      <c r="K961" s="29"/>
      <c r="L961" s="30"/>
      <c r="M961" s="30"/>
      <c r="N961" s="30"/>
      <c r="O961" s="30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</row>
    <row r="962">
      <c r="A962" s="3"/>
      <c r="B962" s="3"/>
      <c r="C962" s="3"/>
      <c r="D962" s="3"/>
      <c r="E962" s="3"/>
      <c r="F962" s="29"/>
      <c r="G962" s="29"/>
      <c r="H962" s="29"/>
      <c r="I962" s="30"/>
      <c r="J962" s="29"/>
      <c r="K962" s="29"/>
      <c r="L962" s="30"/>
      <c r="M962" s="30"/>
      <c r="N962" s="30"/>
      <c r="O962" s="30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</row>
    <row r="963">
      <c r="A963" s="3"/>
      <c r="B963" s="3"/>
      <c r="C963" s="3"/>
      <c r="D963" s="3"/>
      <c r="E963" s="3"/>
      <c r="F963" s="29"/>
      <c r="G963" s="29"/>
      <c r="H963" s="29"/>
      <c r="I963" s="30"/>
      <c r="J963" s="29"/>
      <c r="K963" s="29"/>
      <c r="L963" s="30"/>
      <c r="M963" s="30"/>
      <c r="N963" s="30"/>
      <c r="O963" s="30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</row>
    <row r="964">
      <c r="A964" s="3"/>
      <c r="B964" s="3"/>
      <c r="C964" s="3"/>
      <c r="D964" s="3"/>
      <c r="E964" s="3"/>
      <c r="F964" s="29"/>
      <c r="G964" s="29"/>
      <c r="H964" s="29"/>
      <c r="I964" s="30"/>
      <c r="J964" s="29"/>
      <c r="K964" s="29"/>
      <c r="L964" s="30"/>
      <c r="M964" s="30"/>
      <c r="N964" s="30"/>
      <c r="O964" s="30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</row>
    <row r="965">
      <c r="A965" s="3"/>
      <c r="B965" s="3"/>
      <c r="C965" s="3"/>
      <c r="D965" s="3"/>
      <c r="E965" s="3"/>
      <c r="F965" s="29"/>
      <c r="G965" s="29"/>
      <c r="H965" s="29"/>
      <c r="I965" s="30"/>
      <c r="J965" s="29"/>
      <c r="K965" s="29"/>
      <c r="L965" s="30"/>
      <c r="M965" s="30"/>
      <c r="N965" s="30"/>
      <c r="O965" s="30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</row>
    <row r="966">
      <c r="A966" s="3"/>
      <c r="B966" s="3"/>
      <c r="C966" s="3"/>
      <c r="D966" s="3"/>
      <c r="E966" s="3"/>
      <c r="F966" s="29"/>
      <c r="G966" s="29"/>
      <c r="H966" s="29"/>
      <c r="I966" s="30"/>
      <c r="J966" s="29"/>
      <c r="K966" s="29"/>
      <c r="L966" s="30"/>
      <c r="M966" s="30"/>
      <c r="N966" s="30"/>
      <c r="O966" s="30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</row>
    <row r="967">
      <c r="A967" s="3"/>
      <c r="B967" s="3"/>
      <c r="C967" s="3"/>
      <c r="D967" s="3"/>
      <c r="E967" s="3"/>
      <c r="F967" s="29"/>
      <c r="G967" s="29"/>
      <c r="H967" s="29"/>
      <c r="I967" s="30"/>
      <c r="J967" s="29"/>
      <c r="K967" s="29"/>
      <c r="L967" s="30"/>
      <c r="M967" s="30"/>
      <c r="N967" s="30"/>
      <c r="O967" s="30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</row>
    <row r="968">
      <c r="A968" s="3"/>
      <c r="B968" s="3"/>
      <c r="C968" s="3"/>
      <c r="D968" s="3"/>
      <c r="E968" s="3"/>
      <c r="F968" s="29"/>
      <c r="G968" s="29"/>
      <c r="H968" s="29"/>
      <c r="I968" s="30"/>
      <c r="J968" s="29"/>
      <c r="K968" s="29"/>
      <c r="L968" s="30"/>
      <c r="M968" s="30"/>
      <c r="N968" s="30"/>
      <c r="O968" s="30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</row>
    <row r="969">
      <c r="A969" s="3"/>
      <c r="B969" s="3"/>
      <c r="C969" s="3"/>
      <c r="D969" s="3"/>
      <c r="E969" s="3"/>
      <c r="F969" s="29"/>
      <c r="G969" s="29"/>
      <c r="H969" s="29"/>
      <c r="I969" s="30"/>
      <c r="J969" s="29"/>
      <c r="K969" s="29"/>
      <c r="L969" s="30"/>
      <c r="M969" s="30"/>
      <c r="N969" s="30"/>
      <c r="O969" s="30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</row>
    <row r="970">
      <c r="A970" s="3"/>
      <c r="B970" s="3"/>
      <c r="C970" s="3"/>
      <c r="D970" s="3"/>
      <c r="E970" s="3"/>
      <c r="F970" s="29"/>
      <c r="G970" s="29"/>
      <c r="H970" s="29"/>
      <c r="I970" s="30"/>
      <c r="J970" s="29"/>
      <c r="K970" s="29"/>
      <c r="L970" s="30"/>
      <c r="M970" s="30"/>
      <c r="N970" s="30"/>
      <c r="O970" s="30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</row>
    <row r="971">
      <c r="A971" s="3"/>
      <c r="B971" s="3"/>
      <c r="C971" s="3"/>
      <c r="D971" s="3"/>
      <c r="E971" s="3"/>
      <c r="F971" s="29"/>
      <c r="G971" s="29"/>
      <c r="H971" s="29"/>
      <c r="I971" s="30"/>
      <c r="J971" s="29"/>
      <c r="K971" s="29"/>
      <c r="L971" s="30"/>
      <c r="M971" s="30"/>
      <c r="N971" s="30"/>
      <c r="O971" s="30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</row>
    <row r="972">
      <c r="A972" s="3"/>
      <c r="B972" s="3"/>
      <c r="C972" s="3"/>
      <c r="D972" s="3"/>
      <c r="E972" s="3"/>
      <c r="F972" s="29"/>
      <c r="G972" s="29"/>
      <c r="H972" s="29"/>
      <c r="I972" s="30"/>
      <c r="J972" s="29"/>
      <c r="K972" s="29"/>
      <c r="L972" s="30"/>
      <c r="M972" s="30"/>
      <c r="N972" s="30"/>
      <c r="O972" s="30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</row>
    <row r="973">
      <c r="A973" s="3"/>
      <c r="B973" s="3"/>
      <c r="C973" s="3"/>
      <c r="D973" s="3"/>
      <c r="E973" s="3"/>
      <c r="F973" s="29"/>
      <c r="G973" s="29"/>
      <c r="H973" s="29"/>
      <c r="I973" s="30"/>
      <c r="J973" s="29"/>
      <c r="K973" s="29"/>
      <c r="L973" s="30"/>
      <c r="M973" s="30"/>
      <c r="N973" s="30"/>
      <c r="O973" s="30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</row>
    <row r="974">
      <c r="A974" s="3"/>
      <c r="B974" s="3"/>
      <c r="C974" s="3"/>
      <c r="D974" s="3"/>
      <c r="E974" s="3"/>
      <c r="F974" s="29"/>
      <c r="G974" s="29"/>
      <c r="H974" s="29"/>
      <c r="I974" s="30"/>
      <c r="J974" s="29"/>
      <c r="K974" s="29"/>
      <c r="L974" s="30"/>
      <c r="M974" s="30"/>
      <c r="N974" s="30"/>
      <c r="O974" s="30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</row>
    <row r="975">
      <c r="A975" s="3"/>
      <c r="B975" s="3"/>
      <c r="C975" s="3"/>
      <c r="D975" s="3"/>
      <c r="E975" s="3"/>
      <c r="F975" s="29"/>
      <c r="G975" s="29"/>
      <c r="H975" s="29"/>
      <c r="I975" s="30"/>
      <c r="J975" s="29"/>
      <c r="K975" s="29"/>
      <c r="L975" s="30"/>
      <c r="M975" s="30"/>
      <c r="N975" s="30"/>
      <c r="O975" s="30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</row>
    <row r="976">
      <c r="A976" s="3"/>
      <c r="B976" s="3"/>
      <c r="C976" s="3"/>
      <c r="D976" s="3"/>
      <c r="E976" s="3"/>
      <c r="F976" s="29"/>
      <c r="G976" s="29"/>
      <c r="H976" s="29"/>
      <c r="I976" s="30"/>
      <c r="J976" s="29"/>
      <c r="K976" s="29"/>
      <c r="L976" s="30"/>
      <c r="M976" s="30"/>
      <c r="N976" s="30"/>
      <c r="O976" s="30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</row>
    <row r="977">
      <c r="A977" s="3"/>
      <c r="B977" s="3"/>
      <c r="C977" s="3"/>
      <c r="D977" s="3"/>
      <c r="E977" s="3"/>
      <c r="F977" s="29"/>
      <c r="G977" s="29"/>
      <c r="H977" s="29"/>
      <c r="I977" s="30"/>
      <c r="J977" s="29"/>
      <c r="K977" s="29"/>
      <c r="L977" s="30"/>
      <c r="M977" s="30"/>
      <c r="N977" s="30"/>
      <c r="O977" s="30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</row>
    <row r="978">
      <c r="A978" s="3"/>
      <c r="B978" s="3"/>
      <c r="C978" s="3"/>
      <c r="D978" s="3"/>
      <c r="E978" s="3"/>
      <c r="F978" s="29"/>
      <c r="G978" s="29"/>
      <c r="H978" s="29"/>
      <c r="I978" s="30"/>
      <c r="J978" s="29"/>
      <c r="K978" s="29"/>
      <c r="L978" s="30"/>
      <c r="M978" s="30"/>
      <c r="N978" s="30"/>
      <c r="O978" s="30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</row>
    <row r="979">
      <c r="A979" s="3"/>
      <c r="B979" s="3"/>
      <c r="C979" s="3"/>
      <c r="D979" s="3"/>
      <c r="E979" s="3"/>
      <c r="F979" s="29"/>
      <c r="G979" s="29"/>
      <c r="H979" s="29"/>
      <c r="I979" s="30"/>
      <c r="J979" s="29"/>
      <c r="K979" s="29"/>
      <c r="L979" s="30"/>
      <c r="M979" s="30"/>
      <c r="N979" s="30"/>
      <c r="O979" s="30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</row>
    <row r="980">
      <c r="A980" s="3"/>
      <c r="B980" s="3"/>
      <c r="C980" s="3"/>
      <c r="D980" s="3"/>
      <c r="E980" s="3"/>
      <c r="F980" s="29"/>
      <c r="G980" s="29"/>
      <c r="H980" s="29"/>
      <c r="I980" s="30"/>
      <c r="J980" s="29"/>
      <c r="K980" s="29"/>
      <c r="L980" s="30"/>
      <c r="M980" s="30"/>
      <c r="N980" s="30"/>
      <c r="O980" s="30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</row>
    <row r="981">
      <c r="A981" s="3"/>
      <c r="B981" s="3"/>
      <c r="C981" s="3"/>
      <c r="D981" s="3"/>
      <c r="E981" s="3"/>
      <c r="F981" s="29"/>
      <c r="G981" s="29"/>
      <c r="H981" s="29"/>
      <c r="I981" s="30"/>
      <c r="J981" s="29"/>
      <c r="K981" s="29"/>
      <c r="L981" s="30"/>
      <c r="M981" s="30"/>
      <c r="N981" s="30"/>
      <c r="O981" s="30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</row>
    <row r="982">
      <c r="A982" s="3"/>
      <c r="B982" s="3"/>
      <c r="C982" s="3"/>
      <c r="D982" s="3"/>
      <c r="E982" s="3"/>
      <c r="F982" s="29"/>
      <c r="G982" s="29"/>
      <c r="H982" s="29"/>
      <c r="I982" s="30"/>
      <c r="J982" s="29"/>
      <c r="K982" s="29"/>
      <c r="L982" s="30"/>
      <c r="M982" s="30"/>
      <c r="N982" s="30"/>
      <c r="O982" s="30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</row>
    <row r="983">
      <c r="A983" s="3"/>
      <c r="B983" s="3"/>
      <c r="C983" s="3"/>
      <c r="D983" s="3"/>
      <c r="E983" s="3"/>
      <c r="F983" s="29"/>
      <c r="G983" s="29"/>
      <c r="H983" s="29"/>
      <c r="I983" s="30"/>
      <c r="J983" s="29"/>
      <c r="K983" s="29"/>
      <c r="L983" s="30"/>
      <c r="M983" s="30"/>
      <c r="N983" s="30"/>
      <c r="O983" s="30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</row>
    <row r="984">
      <c r="A984" s="3"/>
      <c r="B984" s="3"/>
      <c r="C984" s="3"/>
      <c r="D984" s="3"/>
      <c r="E984" s="3"/>
      <c r="F984" s="29"/>
      <c r="G984" s="29"/>
      <c r="H984" s="29"/>
      <c r="I984" s="30"/>
      <c r="J984" s="29"/>
      <c r="K984" s="29"/>
      <c r="L984" s="30"/>
      <c r="M984" s="30"/>
      <c r="N984" s="30"/>
      <c r="O984" s="30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</row>
    <row r="985">
      <c r="A985" s="3"/>
      <c r="B985" s="3"/>
      <c r="C985" s="3"/>
      <c r="D985" s="3"/>
      <c r="E985" s="3"/>
      <c r="F985" s="29"/>
      <c r="G985" s="29"/>
      <c r="H985" s="29"/>
      <c r="I985" s="30"/>
      <c r="J985" s="29"/>
      <c r="K985" s="29"/>
      <c r="L985" s="30"/>
      <c r="M985" s="30"/>
      <c r="N985" s="30"/>
      <c r="O985" s="30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</row>
    <row r="986">
      <c r="A986" s="3"/>
      <c r="B986" s="3"/>
      <c r="C986" s="3"/>
      <c r="D986" s="3"/>
      <c r="E986" s="3"/>
      <c r="F986" s="29"/>
      <c r="G986" s="29"/>
      <c r="H986" s="29"/>
      <c r="I986" s="30"/>
      <c r="J986" s="29"/>
      <c r="K986" s="29"/>
      <c r="L986" s="30"/>
      <c r="M986" s="30"/>
      <c r="N986" s="30"/>
      <c r="O986" s="30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</row>
    <row r="987">
      <c r="A987" s="3"/>
      <c r="B987" s="3"/>
      <c r="C987" s="3"/>
      <c r="D987" s="3"/>
      <c r="E987" s="3"/>
      <c r="F987" s="29"/>
      <c r="G987" s="29"/>
      <c r="H987" s="29"/>
      <c r="I987" s="30"/>
      <c r="J987" s="29"/>
      <c r="K987" s="29"/>
      <c r="L987" s="30"/>
      <c r="M987" s="30"/>
      <c r="N987" s="30"/>
      <c r="O987" s="30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</row>
    <row r="988">
      <c r="A988" s="3"/>
      <c r="B988" s="3"/>
      <c r="C988" s="3"/>
      <c r="D988" s="3"/>
      <c r="E988" s="3"/>
      <c r="F988" s="29"/>
      <c r="G988" s="29"/>
      <c r="H988" s="29"/>
      <c r="I988" s="30"/>
      <c r="J988" s="29"/>
      <c r="K988" s="29"/>
      <c r="L988" s="30"/>
      <c r="M988" s="30"/>
      <c r="N988" s="30"/>
      <c r="O988" s="30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</row>
    <row r="989">
      <c r="A989" s="3"/>
      <c r="B989" s="3"/>
      <c r="C989" s="3"/>
      <c r="D989" s="3"/>
      <c r="E989" s="3"/>
      <c r="F989" s="29"/>
      <c r="G989" s="29"/>
      <c r="H989" s="29"/>
      <c r="I989" s="30"/>
      <c r="J989" s="29"/>
      <c r="K989" s="29"/>
      <c r="L989" s="30"/>
      <c r="M989" s="30"/>
      <c r="N989" s="30"/>
      <c r="O989" s="30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</row>
    <row r="990">
      <c r="A990" s="3"/>
      <c r="B990" s="3"/>
      <c r="C990" s="3"/>
      <c r="D990" s="3"/>
      <c r="E990" s="3"/>
      <c r="F990" s="29"/>
      <c r="G990" s="29"/>
      <c r="H990" s="29"/>
      <c r="I990" s="30"/>
      <c r="J990" s="29"/>
      <c r="K990" s="29"/>
      <c r="L990" s="30"/>
      <c r="M990" s="30"/>
      <c r="N990" s="30"/>
      <c r="O990" s="30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</row>
    <row r="991">
      <c r="A991" s="3"/>
      <c r="B991" s="3"/>
      <c r="C991" s="3"/>
      <c r="D991" s="3"/>
      <c r="E991" s="3"/>
      <c r="F991" s="29"/>
      <c r="G991" s="29"/>
      <c r="H991" s="29"/>
      <c r="I991" s="30"/>
      <c r="J991" s="29"/>
      <c r="K991" s="29"/>
      <c r="L991" s="30"/>
      <c r="M991" s="30"/>
      <c r="N991" s="30"/>
      <c r="O991" s="30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</row>
    <row r="992">
      <c r="A992" s="3"/>
      <c r="B992" s="3"/>
      <c r="C992" s="3"/>
      <c r="D992" s="3"/>
      <c r="E992" s="3"/>
      <c r="F992" s="29"/>
      <c r="G992" s="29"/>
      <c r="H992" s="29"/>
      <c r="I992" s="30"/>
      <c r="J992" s="29"/>
      <c r="K992" s="29"/>
      <c r="L992" s="30"/>
      <c r="M992" s="30"/>
      <c r="N992" s="30"/>
      <c r="O992" s="30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</row>
    <row r="993">
      <c r="A993" s="3"/>
      <c r="B993" s="3"/>
      <c r="C993" s="3"/>
      <c r="D993" s="3"/>
      <c r="E993" s="3"/>
      <c r="F993" s="29"/>
      <c r="G993" s="29"/>
      <c r="H993" s="29"/>
      <c r="I993" s="30"/>
      <c r="J993" s="29"/>
      <c r="K993" s="29"/>
      <c r="L993" s="30"/>
      <c r="M993" s="30"/>
      <c r="N993" s="30"/>
      <c r="O993" s="30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</row>
    <row r="994">
      <c r="A994" s="3"/>
      <c r="B994" s="3"/>
      <c r="C994" s="3"/>
      <c r="D994" s="3"/>
      <c r="E994" s="3"/>
      <c r="F994" s="29"/>
      <c r="G994" s="29"/>
      <c r="H994" s="29"/>
      <c r="I994" s="30"/>
      <c r="J994" s="29"/>
      <c r="K994" s="29"/>
      <c r="L994" s="30"/>
      <c r="M994" s="30"/>
      <c r="N994" s="30"/>
      <c r="O994" s="30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</row>
    <row r="995">
      <c r="A995" s="3"/>
      <c r="B995" s="3"/>
      <c r="C995" s="3"/>
      <c r="D995" s="3"/>
      <c r="E995" s="3"/>
      <c r="F995" s="29"/>
      <c r="G995" s="29"/>
      <c r="H995" s="29"/>
      <c r="I995" s="30"/>
      <c r="J995" s="29"/>
      <c r="K995" s="29"/>
      <c r="L995" s="30"/>
      <c r="M995" s="30"/>
      <c r="N995" s="30"/>
      <c r="O995" s="30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</row>
    <row r="996">
      <c r="A996" s="3"/>
      <c r="B996" s="3"/>
      <c r="C996" s="3"/>
      <c r="D996" s="3"/>
      <c r="E996" s="3"/>
      <c r="F996" s="29"/>
      <c r="G996" s="29"/>
      <c r="H996" s="29"/>
      <c r="I996" s="30"/>
      <c r="J996" s="29"/>
      <c r="K996" s="29"/>
      <c r="L996" s="30"/>
      <c r="M996" s="30"/>
      <c r="N996" s="30"/>
      <c r="O996" s="30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</row>
    <row r="997">
      <c r="A997" s="3"/>
      <c r="B997" s="3"/>
      <c r="C997" s="3"/>
      <c r="D997" s="3"/>
      <c r="E997" s="3"/>
      <c r="F997" s="29"/>
      <c r="G997" s="29"/>
      <c r="H997" s="29"/>
      <c r="I997" s="30"/>
      <c r="J997" s="29"/>
      <c r="K997" s="29"/>
      <c r="L997" s="30"/>
      <c r="M997" s="30"/>
      <c r="N997" s="30"/>
      <c r="O997" s="30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</row>
    <row r="998">
      <c r="A998" s="3"/>
      <c r="B998" s="3"/>
      <c r="C998" s="3"/>
      <c r="D998" s="3"/>
      <c r="E998" s="3"/>
      <c r="F998" s="29"/>
      <c r="G998" s="29"/>
      <c r="H998" s="29"/>
      <c r="I998" s="30"/>
      <c r="J998" s="29"/>
      <c r="K998" s="29"/>
      <c r="L998" s="30"/>
      <c r="M998" s="30"/>
      <c r="N998" s="30"/>
      <c r="O998" s="30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</row>
    <row r="999">
      <c r="A999" s="3"/>
      <c r="B999" s="3"/>
      <c r="C999" s="3"/>
      <c r="D999" s="3"/>
      <c r="E999" s="3"/>
      <c r="F999" s="29"/>
      <c r="G999" s="29"/>
      <c r="H999" s="29"/>
      <c r="I999" s="30"/>
      <c r="J999" s="29"/>
      <c r="K999" s="29"/>
      <c r="L999" s="30"/>
      <c r="M999" s="30"/>
      <c r="N999" s="30"/>
      <c r="O999" s="30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</row>
    <row r="1000">
      <c r="A1000" s="3"/>
      <c r="B1000" s="3"/>
      <c r="C1000" s="3"/>
      <c r="D1000" s="3"/>
      <c r="E1000" s="3"/>
      <c r="F1000" s="29"/>
      <c r="G1000" s="29"/>
      <c r="H1000" s="29"/>
      <c r="I1000" s="30"/>
      <c r="J1000" s="29"/>
      <c r="K1000" s="29"/>
      <c r="L1000" s="30"/>
      <c r="M1000" s="30"/>
      <c r="N1000" s="30"/>
      <c r="O1000" s="30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</row>
    <row r="1001">
      <c r="A1001" s="3"/>
      <c r="B1001" s="3"/>
      <c r="C1001" s="3"/>
      <c r="D1001" s="3"/>
      <c r="E1001" s="3"/>
      <c r="F1001" s="29"/>
      <c r="G1001" s="29"/>
      <c r="H1001" s="29"/>
      <c r="I1001" s="30"/>
      <c r="J1001" s="29"/>
      <c r="K1001" s="29"/>
      <c r="L1001" s="30"/>
      <c r="M1001" s="30"/>
      <c r="N1001" s="30"/>
      <c r="O1001" s="30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</row>
    <row r="1002">
      <c r="A1002" s="3"/>
      <c r="B1002" s="3"/>
      <c r="C1002" s="3"/>
      <c r="D1002" s="3"/>
      <c r="E1002" s="3"/>
      <c r="F1002" s="29"/>
      <c r="G1002" s="29"/>
      <c r="H1002" s="29"/>
      <c r="I1002" s="30"/>
      <c r="J1002" s="29"/>
      <c r="K1002" s="29"/>
      <c r="L1002" s="30"/>
      <c r="M1002" s="30"/>
      <c r="N1002" s="30"/>
      <c r="O1002" s="30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</row>
    <row r="1003">
      <c r="A1003" s="3"/>
      <c r="B1003" s="3"/>
      <c r="C1003" s="3"/>
      <c r="D1003" s="3"/>
      <c r="E1003" s="3"/>
      <c r="F1003" s="29"/>
      <c r="G1003" s="29"/>
      <c r="H1003" s="29"/>
      <c r="I1003" s="30"/>
      <c r="J1003" s="29"/>
      <c r="K1003" s="29"/>
      <c r="L1003" s="30"/>
      <c r="M1003" s="30"/>
      <c r="N1003" s="30"/>
      <c r="O1003" s="30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</row>
    <row r="1004">
      <c r="A1004" s="3"/>
      <c r="B1004" s="3"/>
      <c r="C1004" s="3"/>
      <c r="D1004" s="3"/>
      <c r="E1004" s="3"/>
      <c r="F1004" s="29"/>
      <c r="G1004" s="29"/>
      <c r="H1004" s="29"/>
      <c r="I1004" s="30"/>
      <c r="J1004" s="29"/>
      <c r="K1004" s="29"/>
      <c r="L1004" s="30"/>
      <c r="M1004" s="30"/>
      <c r="N1004" s="30"/>
      <c r="O1004" s="30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</row>
    <row r="1005">
      <c r="A1005" s="3"/>
      <c r="B1005" s="3"/>
      <c r="C1005" s="3"/>
      <c r="D1005" s="3"/>
      <c r="E1005" s="3"/>
      <c r="F1005" s="29"/>
      <c r="G1005" s="29"/>
      <c r="H1005" s="29"/>
      <c r="I1005" s="30"/>
      <c r="J1005" s="29"/>
      <c r="K1005" s="29"/>
      <c r="L1005" s="30"/>
      <c r="M1005" s="30"/>
      <c r="N1005" s="30"/>
      <c r="O1005" s="30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</row>
    <row r="1006">
      <c r="A1006" s="3"/>
      <c r="B1006" s="3"/>
      <c r="C1006" s="3"/>
      <c r="D1006" s="3"/>
      <c r="E1006" s="3"/>
      <c r="F1006" s="29"/>
      <c r="G1006" s="29"/>
      <c r="H1006" s="29"/>
      <c r="I1006" s="30"/>
      <c r="J1006" s="29"/>
      <c r="K1006" s="29"/>
      <c r="L1006" s="30"/>
      <c r="M1006" s="30"/>
      <c r="N1006" s="30"/>
      <c r="O1006" s="30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</row>
    <row r="1007">
      <c r="A1007" s="3"/>
      <c r="B1007" s="3"/>
      <c r="C1007" s="3"/>
      <c r="D1007" s="3"/>
      <c r="E1007" s="3"/>
      <c r="F1007" s="29"/>
      <c r="G1007" s="29"/>
      <c r="H1007" s="29"/>
      <c r="I1007" s="30"/>
      <c r="J1007" s="29"/>
      <c r="K1007" s="29"/>
      <c r="L1007" s="30"/>
      <c r="M1007" s="30"/>
      <c r="N1007" s="30"/>
      <c r="O1007" s="30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</row>
    <row r="1008">
      <c r="A1008" s="3"/>
      <c r="B1008" s="3"/>
      <c r="C1008" s="3"/>
      <c r="D1008" s="3"/>
      <c r="E1008" s="3"/>
      <c r="F1008" s="29"/>
      <c r="G1008" s="29"/>
      <c r="H1008" s="29"/>
      <c r="I1008" s="30"/>
      <c r="J1008" s="29"/>
      <c r="K1008" s="29"/>
      <c r="L1008" s="30"/>
      <c r="M1008" s="30"/>
      <c r="N1008" s="30"/>
      <c r="O1008" s="30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</row>
    <row r="1009">
      <c r="A1009" s="3"/>
      <c r="B1009" s="3"/>
      <c r="C1009" s="3"/>
      <c r="D1009" s="3"/>
      <c r="E1009" s="3"/>
      <c r="F1009" s="29"/>
      <c r="G1009" s="29"/>
      <c r="H1009" s="29"/>
      <c r="I1009" s="30"/>
      <c r="J1009" s="29"/>
      <c r="K1009" s="29"/>
      <c r="L1009" s="30"/>
      <c r="M1009" s="30"/>
      <c r="N1009" s="30"/>
      <c r="O1009" s="30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</row>
    <row r="1010">
      <c r="A1010" s="3"/>
      <c r="B1010" s="3"/>
      <c r="C1010" s="3"/>
      <c r="D1010" s="3"/>
      <c r="E1010" s="3"/>
      <c r="F1010" s="29"/>
      <c r="G1010" s="29"/>
      <c r="H1010" s="29"/>
      <c r="I1010" s="30"/>
      <c r="J1010" s="29"/>
      <c r="K1010" s="29"/>
      <c r="L1010" s="30"/>
      <c r="M1010" s="30"/>
      <c r="N1010" s="30"/>
      <c r="O1010" s="30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</row>
    <row r="1011">
      <c r="A1011" s="3"/>
      <c r="B1011" s="3"/>
      <c r="C1011" s="3"/>
      <c r="D1011" s="3"/>
      <c r="E1011" s="3"/>
      <c r="F1011" s="29"/>
      <c r="G1011" s="29"/>
      <c r="H1011" s="29"/>
      <c r="I1011" s="30"/>
      <c r="J1011" s="29"/>
      <c r="K1011" s="29"/>
      <c r="L1011" s="30"/>
      <c r="M1011" s="30"/>
      <c r="N1011" s="30"/>
      <c r="O1011" s="30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</row>
    <row r="1012">
      <c r="A1012" s="3"/>
      <c r="B1012" s="3"/>
      <c r="C1012" s="3"/>
      <c r="D1012" s="3"/>
      <c r="E1012" s="3"/>
      <c r="F1012" s="29"/>
      <c r="G1012" s="29"/>
      <c r="H1012" s="29"/>
      <c r="I1012" s="30"/>
      <c r="J1012" s="29"/>
      <c r="K1012" s="29"/>
      <c r="L1012" s="30"/>
      <c r="M1012" s="30"/>
      <c r="N1012" s="30"/>
      <c r="O1012" s="30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</row>
    <row r="1013">
      <c r="A1013" s="3"/>
      <c r="B1013" s="3"/>
      <c r="C1013" s="3"/>
      <c r="D1013" s="3"/>
      <c r="E1013" s="3"/>
      <c r="F1013" s="29"/>
      <c r="G1013" s="29"/>
      <c r="H1013" s="29"/>
      <c r="I1013" s="30"/>
      <c r="J1013" s="29"/>
      <c r="K1013" s="29"/>
      <c r="L1013" s="30"/>
      <c r="M1013" s="30"/>
      <c r="N1013" s="30"/>
      <c r="O1013" s="30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</row>
    <row r="1014">
      <c r="A1014" s="3"/>
      <c r="B1014" s="3"/>
      <c r="C1014" s="3"/>
      <c r="D1014" s="3"/>
      <c r="E1014" s="3"/>
      <c r="F1014" s="29"/>
      <c r="G1014" s="29"/>
      <c r="H1014" s="29"/>
      <c r="I1014" s="30"/>
      <c r="J1014" s="29"/>
      <c r="K1014" s="29"/>
      <c r="L1014" s="30"/>
      <c r="M1014" s="30"/>
      <c r="N1014" s="30"/>
      <c r="O1014" s="30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</row>
    <row r="1015">
      <c r="A1015" s="3"/>
      <c r="B1015" s="3"/>
      <c r="C1015" s="3"/>
      <c r="D1015" s="3"/>
      <c r="E1015" s="3"/>
      <c r="F1015" s="29"/>
      <c r="G1015" s="29"/>
      <c r="H1015" s="29"/>
      <c r="I1015" s="30"/>
      <c r="J1015" s="29"/>
      <c r="K1015" s="29"/>
      <c r="L1015" s="30"/>
      <c r="M1015" s="30"/>
      <c r="N1015" s="30"/>
      <c r="O1015" s="30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</row>
    <row r="1016">
      <c r="A1016" s="3"/>
      <c r="B1016" s="3"/>
      <c r="C1016" s="3"/>
      <c r="D1016" s="3"/>
      <c r="E1016" s="3"/>
      <c r="F1016" s="29"/>
      <c r="G1016" s="29"/>
      <c r="H1016" s="29"/>
      <c r="I1016" s="30"/>
      <c r="J1016" s="29"/>
      <c r="K1016" s="29"/>
      <c r="L1016" s="30"/>
      <c r="M1016" s="30"/>
      <c r="N1016" s="30"/>
      <c r="O1016" s="30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</row>
    <row r="1017">
      <c r="A1017" s="3"/>
      <c r="B1017" s="3"/>
      <c r="C1017" s="3"/>
      <c r="D1017" s="3"/>
      <c r="E1017" s="3"/>
      <c r="F1017" s="29"/>
      <c r="G1017" s="29"/>
      <c r="H1017" s="29"/>
      <c r="I1017" s="30"/>
      <c r="J1017" s="29"/>
      <c r="K1017" s="29"/>
      <c r="L1017" s="30"/>
      <c r="M1017" s="30"/>
      <c r="N1017" s="30"/>
      <c r="O1017" s="30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</row>
    <row r="1018">
      <c r="A1018" s="3"/>
      <c r="B1018" s="3"/>
      <c r="C1018" s="3"/>
      <c r="D1018" s="3"/>
      <c r="E1018" s="3"/>
      <c r="F1018" s="29"/>
      <c r="G1018" s="29"/>
      <c r="H1018" s="29"/>
      <c r="I1018" s="30"/>
      <c r="J1018" s="29"/>
      <c r="K1018" s="29"/>
      <c r="L1018" s="30"/>
      <c r="M1018" s="30"/>
      <c r="N1018" s="30"/>
      <c r="O1018" s="30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</row>
    <row r="1019">
      <c r="A1019" s="3"/>
      <c r="B1019" s="3"/>
      <c r="C1019" s="3"/>
      <c r="D1019" s="3"/>
      <c r="E1019" s="3"/>
      <c r="F1019" s="29"/>
      <c r="G1019" s="29"/>
      <c r="H1019" s="29"/>
      <c r="I1019" s="30"/>
      <c r="J1019" s="29"/>
      <c r="K1019" s="29"/>
      <c r="L1019" s="30"/>
      <c r="M1019" s="30"/>
      <c r="N1019" s="30"/>
      <c r="O1019" s="30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</row>
    <row r="1020">
      <c r="A1020" s="3"/>
      <c r="B1020" s="3"/>
      <c r="C1020" s="3"/>
      <c r="D1020" s="3"/>
      <c r="E1020" s="3"/>
      <c r="F1020" s="29"/>
      <c r="G1020" s="29"/>
      <c r="H1020" s="29"/>
      <c r="I1020" s="30"/>
      <c r="J1020" s="29"/>
      <c r="K1020" s="29"/>
      <c r="L1020" s="30"/>
      <c r="M1020" s="30"/>
      <c r="N1020" s="30"/>
      <c r="O1020" s="30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</row>
    <row r="1021">
      <c r="A1021" s="3"/>
      <c r="B1021" s="3"/>
      <c r="C1021" s="3"/>
      <c r="D1021" s="3"/>
      <c r="E1021" s="3"/>
      <c r="F1021" s="29"/>
      <c r="G1021" s="29"/>
      <c r="H1021" s="29"/>
      <c r="I1021" s="30"/>
      <c r="J1021" s="29"/>
      <c r="K1021" s="29"/>
      <c r="L1021" s="30"/>
      <c r="M1021" s="30"/>
      <c r="N1021" s="30"/>
      <c r="O1021" s="30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</row>
    <row r="1022">
      <c r="A1022" s="3"/>
      <c r="B1022" s="3"/>
      <c r="C1022" s="3"/>
      <c r="D1022" s="3"/>
      <c r="E1022" s="3"/>
      <c r="F1022" s="29"/>
      <c r="G1022" s="29"/>
      <c r="H1022" s="29"/>
      <c r="I1022" s="30"/>
      <c r="J1022" s="29"/>
      <c r="K1022" s="29"/>
      <c r="L1022" s="30"/>
      <c r="M1022" s="30"/>
      <c r="N1022" s="30"/>
      <c r="O1022" s="30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</row>
    <row r="1023">
      <c r="A1023" s="3"/>
      <c r="B1023" s="3"/>
      <c r="C1023" s="3"/>
      <c r="D1023" s="3"/>
      <c r="E1023" s="3"/>
      <c r="F1023" s="29"/>
      <c r="G1023" s="29"/>
      <c r="H1023" s="29"/>
      <c r="I1023" s="30"/>
      <c r="J1023" s="29"/>
      <c r="K1023" s="29"/>
      <c r="L1023" s="30"/>
      <c r="M1023" s="30"/>
      <c r="N1023" s="30"/>
      <c r="O1023" s="30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</row>
    <row r="1024">
      <c r="A1024" s="3"/>
      <c r="B1024" s="3"/>
      <c r="C1024" s="3"/>
      <c r="D1024" s="3"/>
      <c r="E1024" s="3"/>
      <c r="F1024" s="29"/>
      <c r="G1024" s="29"/>
      <c r="H1024" s="29"/>
      <c r="I1024" s="30"/>
      <c r="J1024" s="29"/>
      <c r="K1024" s="29"/>
      <c r="L1024" s="30"/>
      <c r="M1024" s="30"/>
      <c r="N1024" s="30"/>
      <c r="O1024" s="30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</row>
    <row r="1025">
      <c r="A1025" s="3"/>
      <c r="B1025" s="3"/>
      <c r="C1025" s="3"/>
      <c r="D1025" s="3"/>
      <c r="E1025" s="3"/>
      <c r="F1025" s="29"/>
      <c r="G1025" s="29"/>
      <c r="H1025" s="29"/>
      <c r="I1025" s="30"/>
      <c r="J1025" s="29"/>
      <c r="K1025" s="29"/>
      <c r="L1025" s="30"/>
      <c r="M1025" s="30"/>
      <c r="N1025" s="30"/>
      <c r="O1025" s="30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</row>
    <row r="1026">
      <c r="A1026" s="3"/>
      <c r="B1026" s="3"/>
      <c r="C1026" s="3"/>
      <c r="D1026" s="3"/>
      <c r="E1026" s="3"/>
      <c r="F1026" s="29"/>
      <c r="G1026" s="29"/>
      <c r="H1026" s="29"/>
      <c r="I1026" s="30"/>
      <c r="J1026" s="29"/>
      <c r="K1026" s="29"/>
      <c r="L1026" s="30"/>
      <c r="M1026" s="30"/>
      <c r="N1026" s="30"/>
      <c r="O1026" s="30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</row>
    <row r="1027">
      <c r="A1027" s="3"/>
      <c r="B1027" s="3"/>
      <c r="C1027" s="3"/>
      <c r="D1027" s="3"/>
      <c r="E1027" s="3"/>
      <c r="F1027" s="29"/>
      <c r="G1027" s="29"/>
      <c r="H1027" s="29"/>
      <c r="I1027" s="30"/>
      <c r="J1027" s="29"/>
      <c r="K1027" s="29"/>
      <c r="L1027" s="30"/>
      <c r="M1027" s="30"/>
      <c r="N1027" s="30"/>
      <c r="O1027" s="30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0"/>
    <col customWidth="1" min="16" max="16" width="18.0"/>
  </cols>
  <sheetData>
    <row r="1">
      <c r="A1" s="31" t="s">
        <v>930</v>
      </c>
      <c r="B1" s="32"/>
      <c r="C1" s="31" t="s">
        <v>931</v>
      </c>
      <c r="D1" s="3"/>
      <c r="E1" s="3"/>
      <c r="F1" s="31" t="s">
        <v>932</v>
      </c>
      <c r="G1" s="4"/>
      <c r="H1" s="4"/>
      <c r="I1" s="5"/>
      <c r="J1" s="6"/>
      <c r="K1" s="6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>
      <c r="A2" s="1" t="s">
        <v>0</v>
      </c>
      <c r="B2" s="2">
        <v>45863.0</v>
      </c>
      <c r="C2" s="3"/>
      <c r="D2" s="3"/>
      <c r="E2" s="3"/>
      <c r="F2" s="4"/>
      <c r="G2" s="4"/>
      <c r="H2" s="4"/>
      <c r="I2" s="5"/>
      <c r="J2" s="6">
        <f>DATE(2025,7,28)</f>
        <v>45866</v>
      </c>
      <c r="K2" s="6">
        <f>DATE(2025,8,1)</f>
        <v>45870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>
      <c r="A3" s="1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8" t="s">
        <v>10</v>
      </c>
      <c r="K3" s="8" t="s">
        <v>11</v>
      </c>
      <c r="L3" s="7" t="s">
        <v>12</v>
      </c>
      <c r="M3" s="8" t="s">
        <v>13</v>
      </c>
      <c r="N3" s="8" t="s">
        <v>14</v>
      </c>
      <c r="O3" s="10" t="s">
        <v>15</v>
      </c>
      <c r="P3" s="11" t="s">
        <v>16</v>
      </c>
      <c r="Q3" s="12">
        <v>120.0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>
      <c r="A4" s="13" t="s">
        <v>23</v>
      </c>
      <c r="B4" s="14" t="s">
        <v>18</v>
      </c>
      <c r="C4" s="15">
        <v>16.17</v>
      </c>
      <c r="D4" s="13" t="s">
        <v>19</v>
      </c>
      <c r="E4" s="15">
        <v>12.91</v>
      </c>
      <c r="F4" s="15">
        <v>5.0</v>
      </c>
      <c r="G4" s="15">
        <v>3.0</v>
      </c>
      <c r="H4" s="15">
        <v>5.0</v>
      </c>
      <c r="I4" s="16">
        <v>0.399869641688992</v>
      </c>
      <c r="J4" s="17">
        <f>IFERROR(__xludf.DUMMYFUNCTION("INDEX(GOOGLEFINANCE(A4, ""open"", $J$2, $J$2), 2, 2)"),14.55)</f>
        <v>14.55</v>
      </c>
      <c r="K4" s="17">
        <f>IFERROR(__xludf.DUMMYFUNCTION("INDEX(GOOGLEFINANCE(A4, ""close"", $K$2, $K$2), 2, 2)"),11.03)</f>
        <v>11.03</v>
      </c>
      <c r="L4" s="8">
        <f t="shared" ref="L4:L123" si="1">IFERROR(if(B4="Bullish",((K4-J4)/J4*100),((J4-K4)/J4*100)),"")</f>
        <v>-24.19243986</v>
      </c>
      <c r="M4" s="18">
        <f t="shared" ref="M4:M123" si="2">iferror(1000*L4/100,"")</f>
        <v>-241.9243986</v>
      </c>
      <c r="N4" s="18" t="str">
        <f t="shared" ref="N4:N123" si="3">if(B4="Bullish","Put Spread","Call Spread")</f>
        <v>Put Spread</v>
      </c>
      <c r="O4" s="18" t="str">
        <f t="shared" ref="O4:O123" si="4">if(B4="Bullish",if(K4-E4&gt;0,"Success","No"),if(B4="Bearish",if(E4-K4&gt;0,"Success","No")))</f>
        <v>No</v>
      </c>
      <c r="P4" s="11" t="s">
        <v>20</v>
      </c>
      <c r="Q4" s="19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>
      <c r="A5" s="13" t="s">
        <v>25</v>
      </c>
      <c r="B5" s="14" t="s">
        <v>18</v>
      </c>
      <c r="C5" s="15">
        <v>9.84</v>
      </c>
      <c r="D5" s="13" t="s">
        <v>19</v>
      </c>
      <c r="E5" s="15">
        <v>7.2</v>
      </c>
      <c r="F5" s="15">
        <v>5.0</v>
      </c>
      <c r="G5" s="15">
        <v>5.0</v>
      </c>
      <c r="H5" s="15">
        <v>5.0</v>
      </c>
      <c r="I5" s="16">
        <v>0.0</v>
      </c>
      <c r="J5" s="17">
        <f>IFERROR(__xludf.DUMMYFUNCTION("INDEX(GOOGLEFINANCE(A5, ""open"", $J$2, $J$2), 2, 2)"),8.53)</f>
        <v>8.53</v>
      </c>
      <c r="K5" s="17">
        <f>IFERROR(__xludf.DUMMYFUNCTION("INDEX(GOOGLEFINANCE(A5, ""close"", $K$2, $K$2), 2, 2)"),6.7)</f>
        <v>6.7</v>
      </c>
      <c r="L5" s="8">
        <f t="shared" si="1"/>
        <v>-21.45369285</v>
      </c>
      <c r="M5" s="18">
        <f t="shared" si="2"/>
        <v>-214.5369285</v>
      </c>
      <c r="N5" s="18" t="str">
        <f t="shared" si="3"/>
        <v>Put Spread</v>
      </c>
      <c r="O5" s="18" t="str">
        <f t="shared" si="4"/>
        <v>No</v>
      </c>
      <c r="P5" s="11" t="s">
        <v>22</v>
      </c>
      <c r="Q5" s="21">
        <f>countif(M2:M2523,"&gt;0")/Q3*100</f>
        <v>40.83333333</v>
      </c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>
      <c r="A6" s="13" t="s">
        <v>40</v>
      </c>
      <c r="B6" s="14" t="s">
        <v>18</v>
      </c>
      <c r="C6" s="15">
        <v>536.87</v>
      </c>
      <c r="D6" s="13" t="s">
        <v>19</v>
      </c>
      <c r="E6" s="15">
        <v>498.43</v>
      </c>
      <c r="F6" s="15">
        <v>5.0</v>
      </c>
      <c r="G6" s="15">
        <v>3.0</v>
      </c>
      <c r="H6" s="15">
        <v>5.0</v>
      </c>
      <c r="I6" s="16">
        <v>0.0</v>
      </c>
      <c r="J6" s="17">
        <f>IFERROR(__xludf.DUMMYFUNCTION("INDEX(GOOGLEFINANCE(A6, ""open"", $J$2, $J$2), 2, 2)"),515.0)</f>
        <v>515</v>
      </c>
      <c r="K6" s="17">
        <f>IFERROR(__xludf.DUMMYFUNCTION("INDEX(GOOGLEFINANCE(A6, ""close"", $K$2, $K$2), 2, 2)"),436.24)</f>
        <v>436.24</v>
      </c>
      <c r="L6" s="8">
        <f t="shared" si="1"/>
        <v>-15.29320388</v>
      </c>
      <c r="M6" s="18">
        <f t="shared" si="2"/>
        <v>-152.9320388</v>
      </c>
      <c r="N6" s="18" t="str">
        <f t="shared" si="3"/>
        <v>Put Spread</v>
      </c>
      <c r="O6" s="18" t="str">
        <f t="shared" si="4"/>
        <v>No</v>
      </c>
      <c r="P6" s="11" t="s">
        <v>24</v>
      </c>
      <c r="Q6" s="22">
        <f>Q3*1000</f>
        <v>120000</v>
      </c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>
      <c r="A7" s="13" t="s">
        <v>54</v>
      </c>
      <c r="B7" s="14" t="s">
        <v>18</v>
      </c>
      <c r="C7" s="15">
        <v>15.26</v>
      </c>
      <c r="D7" s="13" t="s">
        <v>19</v>
      </c>
      <c r="E7" s="15">
        <v>12.76</v>
      </c>
      <c r="F7" s="15">
        <v>5.0</v>
      </c>
      <c r="G7" s="15">
        <v>3.0</v>
      </c>
      <c r="H7" s="15">
        <v>5.0</v>
      </c>
      <c r="I7" s="16">
        <v>0.0</v>
      </c>
      <c r="J7" s="17">
        <f>IFERROR(__xludf.DUMMYFUNCTION("INDEX(GOOGLEFINANCE(A7, ""open"", $J$2, $J$2), 2, 2)"),14.05)</f>
        <v>14.05</v>
      </c>
      <c r="K7" s="17">
        <f>IFERROR(__xludf.DUMMYFUNCTION("INDEX(GOOGLEFINANCE(A7, ""close"", $K$2, $K$2), 2, 2)"),12.38)</f>
        <v>12.38</v>
      </c>
      <c r="L7" s="8">
        <f t="shared" si="1"/>
        <v>-11.886121</v>
      </c>
      <c r="M7" s="18">
        <f t="shared" si="2"/>
        <v>-118.86121</v>
      </c>
      <c r="N7" s="18" t="str">
        <f t="shared" si="3"/>
        <v>Put Spread</v>
      </c>
      <c r="O7" s="18" t="str">
        <f t="shared" si="4"/>
        <v>No</v>
      </c>
      <c r="P7" s="11" t="s">
        <v>13</v>
      </c>
      <c r="Q7" s="23">
        <f>sum(M:M)</f>
        <v>-43.02721648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>
      <c r="A8" s="13" t="s">
        <v>64</v>
      </c>
      <c r="B8" s="14" t="s">
        <v>18</v>
      </c>
      <c r="C8" s="15">
        <v>5.77</v>
      </c>
      <c r="D8" s="13" t="s">
        <v>19</v>
      </c>
      <c r="E8" s="15">
        <v>4.95</v>
      </c>
      <c r="F8" s="15">
        <v>5.0</v>
      </c>
      <c r="G8" s="15">
        <v>3.0</v>
      </c>
      <c r="H8" s="15">
        <v>5.0</v>
      </c>
      <c r="I8" s="16">
        <v>0.0</v>
      </c>
      <c r="J8" s="17">
        <f>IFERROR(__xludf.DUMMYFUNCTION("INDEX(GOOGLEFINANCE(A8, ""open"", $J$2, $J$2), 2, 2)"),5.36)</f>
        <v>5.36</v>
      </c>
      <c r="K8" s="17">
        <f>IFERROR(__xludf.DUMMYFUNCTION("INDEX(GOOGLEFINANCE(A8, ""close"", $K$2, $K$2), 2, 2)"),4.8)</f>
        <v>4.8</v>
      </c>
      <c r="L8" s="20">
        <f t="shared" si="1"/>
        <v>-10.44776119</v>
      </c>
      <c r="M8" s="18">
        <f t="shared" si="2"/>
        <v>-104.4776119</v>
      </c>
      <c r="N8" s="18" t="str">
        <f t="shared" si="3"/>
        <v>Put Spread</v>
      </c>
      <c r="O8" s="18" t="str">
        <f t="shared" si="4"/>
        <v>No</v>
      </c>
      <c r="P8" s="11" t="s">
        <v>27</v>
      </c>
      <c r="Q8" s="24">
        <f>Q7/Q6*100</f>
        <v>-0.03585601374</v>
      </c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>
      <c r="A9" s="13" t="s">
        <v>72</v>
      </c>
      <c r="B9" s="14" t="s">
        <v>18</v>
      </c>
      <c r="C9" s="15">
        <v>148.81</v>
      </c>
      <c r="D9" s="13" t="s">
        <v>19</v>
      </c>
      <c r="E9" s="15">
        <v>133.81</v>
      </c>
      <c r="F9" s="15">
        <v>5.0</v>
      </c>
      <c r="G9" s="15">
        <v>3.0</v>
      </c>
      <c r="H9" s="15">
        <v>5.0</v>
      </c>
      <c r="I9" s="16">
        <v>0.0</v>
      </c>
      <c r="J9" s="17">
        <f>IFERROR(__xludf.DUMMYFUNCTION("INDEX(GOOGLEFINANCE(A9, ""open"", $J$2, $J$2), 2, 2)"),141.3)</f>
        <v>141.3</v>
      </c>
      <c r="K9" s="17">
        <f>IFERROR(__xludf.DUMMYFUNCTION("INDEX(GOOGLEFINANCE(A9, ""close"", $K$2, $K$2), 2, 2)"),128.02)</f>
        <v>128.02</v>
      </c>
      <c r="L9" s="8">
        <f t="shared" si="1"/>
        <v>-9.398443029</v>
      </c>
      <c r="M9" s="18">
        <f t="shared" si="2"/>
        <v>-93.98443029</v>
      </c>
      <c r="N9" s="18" t="str">
        <f t="shared" si="3"/>
        <v>Put Spread</v>
      </c>
      <c r="O9" s="18" t="str">
        <f t="shared" si="4"/>
        <v>No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>
      <c r="A10" s="13" t="s">
        <v>80</v>
      </c>
      <c r="B10" s="14" t="s">
        <v>18</v>
      </c>
      <c r="C10" s="15">
        <v>52.66</v>
      </c>
      <c r="D10" s="13" t="s">
        <v>19</v>
      </c>
      <c r="E10" s="15">
        <v>47.52</v>
      </c>
      <c r="F10" s="15">
        <v>5.0</v>
      </c>
      <c r="G10" s="15">
        <v>1.0</v>
      </c>
      <c r="H10" s="15">
        <v>5.0</v>
      </c>
      <c r="I10" s="16">
        <v>0.0</v>
      </c>
      <c r="J10" s="17">
        <f>IFERROR(__xludf.DUMMYFUNCTION("INDEX(GOOGLEFINANCE(A10, ""open"", $J$2, $J$2), 2, 2)"),49.01)</f>
        <v>49.01</v>
      </c>
      <c r="K10" s="17">
        <f>IFERROR(__xludf.DUMMYFUNCTION("INDEX(GOOGLEFINANCE(A10, ""close"", $K$2, $K$2), 2, 2)"),44.8)</f>
        <v>44.8</v>
      </c>
      <c r="L10" s="8">
        <f t="shared" si="1"/>
        <v>-8.590083656</v>
      </c>
      <c r="M10" s="18">
        <f t="shared" si="2"/>
        <v>-85.90083656</v>
      </c>
      <c r="N10" s="18" t="str">
        <f t="shared" si="3"/>
        <v>Put Spread</v>
      </c>
      <c r="O10" s="18" t="str">
        <f t="shared" si="4"/>
        <v>No</v>
      </c>
      <c r="P10" s="11" t="s">
        <v>30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>
      <c r="A11" s="13" t="s">
        <v>89</v>
      </c>
      <c r="B11" s="14" t="s">
        <v>18</v>
      </c>
      <c r="C11" s="15">
        <v>141.03</v>
      </c>
      <c r="D11" s="13" t="s">
        <v>19</v>
      </c>
      <c r="E11" s="15">
        <v>121.09</v>
      </c>
      <c r="F11" s="15">
        <v>5.0</v>
      </c>
      <c r="G11" s="15">
        <v>4.0</v>
      </c>
      <c r="H11" s="15">
        <v>5.0</v>
      </c>
      <c r="I11" s="16">
        <v>-1.2169183</v>
      </c>
      <c r="J11" s="17">
        <f>IFERROR(__xludf.DUMMYFUNCTION("INDEX(GOOGLEFINANCE(A11, ""open"", $J$2, $J$2), 2, 2)"),131.96)</f>
        <v>131.96</v>
      </c>
      <c r="K11" s="17">
        <f>IFERROR(__xludf.DUMMYFUNCTION("INDEX(GOOGLEFINANCE(A11, ""close"", $K$2, $K$2), 2, 2)"),121.16)</f>
        <v>121.16</v>
      </c>
      <c r="L11" s="8">
        <f t="shared" si="1"/>
        <v>-8.184298272</v>
      </c>
      <c r="M11" s="18">
        <f t="shared" si="2"/>
        <v>-81.84298272</v>
      </c>
      <c r="N11" s="18" t="str">
        <f t="shared" si="3"/>
        <v>Put Spread</v>
      </c>
      <c r="O11" s="18" t="str">
        <f t="shared" si="4"/>
        <v>Success</v>
      </c>
      <c r="P11" s="11" t="s">
        <v>22</v>
      </c>
      <c r="Q11" s="25">
        <f>countif(O:O,"Success")/Q3*100</f>
        <v>77.5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>
      <c r="A12" s="13" t="s">
        <v>101</v>
      </c>
      <c r="B12" s="14" t="s">
        <v>18</v>
      </c>
      <c r="C12" s="15">
        <v>85.63</v>
      </c>
      <c r="D12" s="13" t="s">
        <v>19</v>
      </c>
      <c r="E12" s="15">
        <v>65.37</v>
      </c>
      <c r="F12" s="15">
        <v>5.0</v>
      </c>
      <c r="G12" s="15">
        <v>2.0</v>
      </c>
      <c r="H12" s="15">
        <v>5.0</v>
      </c>
      <c r="I12" s="16">
        <v>0.0</v>
      </c>
      <c r="J12" s="17">
        <f>IFERROR(__xludf.DUMMYFUNCTION("INDEX(GOOGLEFINANCE(A12, ""open"", $J$2, $J$2), 2, 2)"),77.5)</f>
        <v>77.5</v>
      </c>
      <c r="K12" s="17">
        <f>IFERROR(__xludf.DUMMYFUNCTION("INDEX(GOOGLEFINANCE(A12, ""close"", $K$2, $K$2), 2, 2)"),71.49)</f>
        <v>71.49</v>
      </c>
      <c r="L12" s="8">
        <f t="shared" si="1"/>
        <v>-7.75483871</v>
      </c>
      <c r="M12" s="18">
        <f t="shared" si="2"/>
        <v>-77.5483871</v>
      </c>
      <c r="N12" s="18" t="str">
        <f t="shared" si="3"/>
        <v>Put Spread</v>
      </c>
      <c r="O12" s="18" t="str">
        <f t="shared" si="4"/>
        <v>Success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>
      <c r="A13" s="13" t="s">
        <v>151</v>
      </c>
      <c r="B13" s="14" t="s">
        <v>18</v>
      </c>
      <c r="C13" s="15">
        <v>415.17</v>
      </c>
      <c r="D13" s="13" t="s">
        <v>19</v>
      </c>
      <c r="E13" s="15">
        <v>391.89</v>
      </c>
      <c r="F13" s="15">
        <v>5.0</v>
      </c>
      <c r="G13" s="15">
        <v>2.0</v>
      </c>
      <c r="H13" s="15">
        <v>5.0</v>
      </c>
      <c r="I13" s="16">
        <v>-0.8510458</v>
      </c>
      <c r="J13" s="17">
        <f>IFERROR(__xludf.DUMMYFUNCTION("INDEX(GOOGLEFINANCE(A13, ""open"", $J$2, $J$2), 2, 2)"),402.59)</f>
        <v>402.59</v>
      </c>
      <c r="K13" s="17">
        <f>IFERROR(__xludf.DUMMYFUNCTION("INDEX(GOOGLEFINANCE(A13, ""close"", $K$2, $K$2), 2, 2)"),377.79)</f>
        <v>377.79</v>
      </c>
      <c r="L13" s="8">
        <f t="shared" si="1"/>
        <v>-6.160113267</v>
      </c>
      <c r="M13" s="18">
        <f t="shared" si="2"/>
        <v>-61.60113267</v>
      </c>
      <c r="N13" s="18" t="str">
        <f t="shared" si="3"/>
        <v>Put Spread</v>
      </c>
      <c r="O13" s="18" t="str">
        <f t="shared" si="4"/>
        <v>No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>
      <c r="A14" s="13" t="s">
        <v>164</v>
      </c>
      <c r="B14" s="14" t="s">
        <v>18</v>
      </c>
      <c r="C14" s="15">
        <v>151.88</v>
      </c>
      <c r="D14" s="13" t="s">
        <v>19</v>
      </c>
      <c r="E14" s="15">
        <v>144.1</v>
      </c>
      <c r="F14" s="15">
        <v>5.0</v>
      </c>
      <c r="G14" s="15">
        <v>0.0</v>
      </c>
      <c r="H14" s="15">
        <v>5.0</v>
      </c>
      <c r="I14" s="16">
        <v>-0.5827906</v>
      </c>
      <c r="J14" s="17">
        <f>IFERROR(__xludf.DUMMYFUNCTION("INDEX(GOOGLEFINANCE(A14, ""open"", $J$2, $J$2), 2, 2)"),148.04)</f>
        <v>148.04</v>
      </c>
      <c r="K14" s="17">
        <f>IFERROR(__xludf.DUMMYFUNCTION("INDEX(GOOGLEFINANCE(A14, ""close"", $K$2, $K$2), 2, 2)"),139.34)</f>
        <v>139.34</v>
      </c>
      <c r="L14" s="8">
        <f t="shared" si="1"/>
        <v>-5.876790057</v>
      </c>
      <c r="M14" s="18">
        <f t="shared" si="2"/>
        <v>-58.76790057</v>
      </c>
      <c r="N14" s="18" t="str">
        <f t="shared" si="3"/>
        <v>Put Spread</v>
      </c>
      <c r="O14" s="18" t="str">
        <f t="shared" si="4"/>
        <v>No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>
      <c r="A15" s="13" t="s">
        <v>188</v>
      </c>
      <c r="B15" s="14" t="s">
        <v>18</v>
      </c>
      <c r="C15" s="15">
        <v>69.5</v>
      </c>
      <c r="D15" s="13" t="s">
        <v>19</v>
      </c>
      <c r="E15" s="15">
        <v>62.06</v>
      </c>
      <c r="F15" s="15">
        <v>5.0</v>
      </c>
      <c r="G15" s="15">
        <v>4.0</v>
      </c>
      <c r="H15" s="15">
        <v>5.0</v>
      </c>
      <c r="I15" s="16">
        <v>-1.7129662</v>
      </c>
      <c r="J15" s="17">
        <f>IFERROR(__xludf.DUMMYFUNCTION("INDEX(GOOGLEFINANCE(A15, ""open"", $J$2, $J$2), 2, 2)"),65.94)</f>
        <v>65.94</v>
      </c>
      <c r="K15" s="17">
        <f>IFERROR(__xludf.DUMMYFUNCTION("INDEX(GOOGLEFINANCE(A15, ""close"", $K$2, $K$2), 2, 2)"),62.38)</f>
        <v>62.38</v>
      </c>
      <c r="L15" s="8">
        <f t="shared" si="1"/>
        <v>-5.398847437</v>
      </c>
      <c r="M15" s="18">
        <f t="shared" si="2"/>
        <v>-53.98847437</v>
      </c>
      <c r="N15" s="18" t="str">
        <f t="shared" si="3"/>
        <v>Put Spread</v>
      </c>
      <c r="O15" s="18" t="str">
        <f t="shared" si="4"/>
        <v>Success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>
      <c r="A16" s="13" t="s">
        <v>193</v>
      </c>
      <c r="B16" s="14" t="s">
        <v>18</v>
      </c>
      <c r="C16" s="15">
        <v>252.18</v>
      </c>
      <c r="D16" s="13" t="s">
        <v>19</v>
      </c>
      <c r="E16" s="15">
        <v>225.42</v>
      </c>
      <c r="F16" s="15">
        <v>5.0</v>
      </c>
      <c r="G16" s="15">
        <v>2.0</v>
      </c>
      <c r="H16" s="15">
        <v>5.0</v>
      </c>
      <c r="I16" s="16">
        <v>0.0</v>
      </c>
      <c r="J16" s="17">
        <f>IFERROR(__xludf.DUMMYFUNCTION("INDEX(GOOGLEFINANCE(A16, ""open"", $J$2, $J$2), 2, 2)"),239.0)</f>
        <v>239</v>
      </c>
      <c r="K16" s="17">
        <f>IFERROR(__xludf.DUMMYFUNCTION("INDEX(GOOGLEFINANCE(A16, ""close"", $K$2, $K$2), 2, 2)"),226.44)</f>
        <v>226.44</v>
      </c>
      <c r="L16" s="8">
        <f t="shared" si="1"/>
        <v>-5.255230126</v>
      </c>
      <c r="M16" s="18">
        <f t="shared" si="2"/>
        <v>-52.55230126</v>
      </c>
      <c r="N16" s="18" t="str">
        <f t="shared" si="3"/>
        <v>Put Spread</v>
      </c>
      <c r="O16" s="18" t="str">
        <f t="shared" si="4"/>
        <v>Success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>
      <c r="A17" s="13" t="s">
        <v>210</v>
      </c>
      <c r="B17" s="14" t="s">
        <v>18</v>
      </c>
      <c r="C17" s="15">
        <v>14.31</v>
      </c>
      <c r="D17" s="13" t="s">
        <v>19</v>
      </c>
      <c r="E17" s="15">
        <v>12.67</v>
      </c>
      <c r="F17" s="15">
        <v>5.0</v>
      </c>
      <c r="G17" s="15">
        <v>2.0</v>
      </c>
      <c r="H17" s="15">
        <v>5.0</v>
      </c>
      <c r="I17" s="16">
        <v>0.0</v>
      </c>
      <c r="J17" s="17">
        <f>IFERROR(__xludf.DUMMYFUNCTION("INDEX(GOOGLEFINANCE(A17, ""open"", $J$2, $J$2), 2, 2)"),13.54)</f>
        <v>13.54</v>
      </c>
      <c r="K17" s="17">
        <f>IFERROR(__xludf.DUMMYFUNCTION("INDEX(GOOGLEFINANCE(A17, ""close"", $K$2, $K$2), 2, 2)"),12.87)</f>
        <v>12.87</v>
      </c>
      <c r="L17" s="8">
        <f t="shared" si="1"/>
        <v>-4.948301329</v>
      </c>
      <c r="M17" s="18">
        <f t="shared" si="2"/>
        <v>-49.48301329</v>
      </c>
      <c r="N17" s="18" t="str">
        <f t="shared" si="3"/>
        <v>Put Spread</v>
      </c>
      <c r="O17" s="18" t="str">
        <f t="shared" si="4"/>
        <v>Success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>
      <c r="A18" s="13" t="s">
        <v>215</v>
      </c>
      <c r="B18" s="14" t="s">
        <v>18</v>
      </c>
      <c r="C18" s="15">
        <v>37.24</v>
      </c>
      <c r="D18" s="13" t="s">
        <v>19</v>
      </c>
      <c r="E18" s="15">
        <v>35.38</v>
      </c>
      <c r="F18" s="15">
        <v>5.0</v>
      </c>
      <c r="G18" s="15">
        <v>0.0</v>
      </c>
      <c r="H18" s="15">
        <v>5.0</v>
      </c>
      <c r="I18" s="16">
        <v>-2.4213709</v>
      </c>
      <c r="J18" s="17">
        <f>IFERROR(__xludf.DUMMYFUNCTION("INDEX(GOOGLEFINANCE(A18, ""open"", $J$2, $J$2), 2, 2)"),36.28)</f>
        <v>36.28</v>
      </c>
      <c r="K18" s="17">
        <f>IFERROR(__xludf.DUMMYFUNCTION("INDEX(GOOGLEFINANCE(A18, ""close"", $K$2, $K$2), 2, 2)"),34.5)</f>
        <v>34.5</v>
      </c>
      <c r="L18" s="8">
        <f t="shared" si="1"/>
        <v>-4.906284454</v>
      </c>
      <c r="M18" s="18">
        <f t="shared" si="2"/>
        <v>-49.06284454</v>
      </c>
      <c r="N18" s="18" t="str">
        <f t="shared" si="3"/>
        <v>Put Spread</v>
      </c>
      <c r="O18" s="18" t="str">
        <f t="shared" si="4"/>
        <v>No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>
      <c r="A19" s="13" t="s">
        <v>240</v>
      </c>
      <c r="B19" s="14" t="s">
        <v>18</v>
      </c>
      <c r="C19" s="15">
        <v>40.02</v>
      </c>
      <c r="D19" s="13" t="s">
        <v>19</v>
      </c>
      <c r="E19" s="15">
        <v>37.28</v>
      </c>
      <c r="F19" s="15">
        <v>5.0</v>
      </c>
      <c r="G19" s="15">
        <v>1.0</v>
      </c>
      <c r="H19" s="15">
        <v>5.0</v>
      </c>
      <c r="I19" s="16">
        <v>0.0</v>
      </c>
      <c r="J19" s="17">
        <f>IFERROR(__xludf.DUMMYFUNCTION("INDEX(GOOGLEFINANCE(A19, ""open"", $J$2, $J$2), 2, 2)"),38.66)</f>
        <v>38.66</v>
      </c>
      <c r="K19" s="17">
        <f>IFERROR(__xludf.DUMMYFUNCTION("INDEX(GOOGLEFINANCE(A19, ""close"", $K$2, $K$2), 2, 2)"),37.44)</f>
        <v>37.44</v>
      </c>
      <c r="L19" s="8">
        <f t="shared" si="1"/>
        <v>-3.155716503</v>
      </c>
      <c r="M19" s="18">
        <f t="shared" si="2"/>
        <v>-31.55716503</v>
      </c>
      <c r="N19" s="18" t="str">
        <f t="shared" si="3"/>
        <v>Put Spread</v>
      </c>
      <c r="O19" s="18" t="str">
        <f t="shared" si="4"/>
        <v>Success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>
      <c r="A20" s="13" t="s">
        <v>245</v>
      </c>
      <c r="B20" s="14" t="s">
        <v>18</v>
      </c>
      <c r="C20" s="15">
        <v>407.17</v>
      </c>
      <c r="D20" s="13" t="s">
        <v>19</v>
      </c>
      <c r="E20" s="15">
        <v>377.17</v>
      </c>
      <c r="F20" s="15">
        <v>5.0</v>
      </c>
      <c r="G20" s="15">
        <v>2.0</v>
      </c>
      <c r="H20" s="15">
        <v>5.0</v>
      </c>
      <c r="I20" s="16">
        <v>-0.6620817</v>
      </c>
      <c r="J20" s="17">
        <f>IFERROR(__xludf.DUMMYFUNCTION("INDEX(GOOGLEFINANCE(A20, ""open"", $J$2, $J$2), 2, 2)"),399.56)</f>
        <v>399.56</v>
      </c>
      <c r="K20" s="17">
        <f>IFERROR(__xludf.DUMMYFUNCTION("INDEX(GOOGLEFINANCE(A20, ""close"", $K$2, $K$2), 2, 2)"),381.29)</f>
        <v>381.29</v>
      </c>
      <c r="L20" s="8">
        <f t="shared" si="1"/>
        <v>-4.572529783</v>
      </c>
      <c r="M20" s="18">
        <f t="shared" si="2"/>
        <v>-45.72529783</v>
      </c>
      <c r="N20" s="18" t="str">
        <f t="shared" si="3"/>
        <v>Put Spread</v>
      </c>
      <c r="O20" s="18" t="str">
        <f t="shared" si="4"/>
        <v>Success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>
      <c r="A21" s="13" t="s">
        <v>253</v>
      </c>
      <c r="B21" s="14" t="s">
        <v>18</v>
      </c>
      <c r="C21" s="15">
        <v>99.29</v>
      </c>
      <c r="D21" s="13" t="s">
        <v>19</v>
      </c>
      <c r="E21" s="15">
        <v>92.85</v>
      </c>
      <c r="F21" s="15">
        <v>5.0</v>
      </c>
      <c r="G21" s="15">
        <v>1.0</v>
      </c>
      <c r="H21" s="15">
        <v>5.0</v>
      </c>
      <c r="I21" s="16">
        <v>0.0</v>
      </c>
      <c r="J21" s="17">
        <f>IFERROR(__xludf.DUMMYFUNCTION("INDEX(GOOGLEFINANCE(A21, ""open"", $J$2, $J$2), 2, 2)"),96.07)</f>
        <v>96.07</v>
      </c>
      <c r="K21" s="17">
        <f>IFERROR(__xludf.DUMMYFUNCTION("INDEX(GOOGLEFINANCE(A21, ""close"", $K$2, $K$2), 2, 2)"),91.83)</f>
        <v>91.83</v>
      </c>
      <c r="L21" s="8">
        <f t="shared" si="1"/>
        <v>-4.413448527</v>
      </c>
      <c r="M21" s="18">
        <f t="shared" si="2"/>
        <v>-44.13448527</v>
      </c>
      <c r="N21" s="18" t="str">
        <f t="shared" si="3"/>
        <v>Put Spread</v>
      </c>
      <c r="O21" s="18" t="str">
        <f t="shared" si="4"/>
        <v>No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>
      <c r="A22" s="13" t="s">
        <v>259</v>
      </c>
      <c r="B22" s="14" t="s">
        <v>18</v>
      </c>
      <c r="C22" s="15">
        <v>160.03</v>
      </c>
      <c r="D22" s="13" t="s">
        <v>19</v>
      </c>
      <c r="E22" s="15">
        <v>146.09</v>
      </c>
      <c r="F22" s="15">
        <v>5.0</v>
      </c>
      <c r="G22" s="15">
        <v>2.0</v>
      </c>
      <c r="H22" s="15">
        <v>5.0</v>
      </c>
      <c r="I22" s="16">
        <v>0.0</v>
      </c>
      <c r="J22" s="17">
        <f>IFERROR(__xludf.DUMMYFUNCTION("INDEX(GOOGLEFINANCE(A22, ""open"", $J$2, $J$2), 2, 2)"),152.83)</f>
        <v>152.83</v>
      </c>
      <c r="K22" s="17">
        <f>IFERROR(__xludf.DUMMYFUNCTION("INDEX(GOOGLEFINANCE(A22, ""close"", $K$2, $K$2), 2, 2)"),146.14)</f>
        <v>146.14</v>
      </c>
      <c r="L22" s="8">
        <f t="shared" si="1"/>
        <v>-4.377412812</v>
      </c>
      <c r="M22" s="18">
        <f t="shared" si="2"/>
        <v>-43.77412812</v>
      </c>
      <c r="N22" s="18" t="str">
        <f t="shared" si="3"/>
        <v>Put Spread</v>
      </c>
      <c r="O22" s="18" t="str">
        <f t="shared" si="4"/>
        <v>Success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>
      <c r="A23" s="13" t="s">
        <v>291</v>
      </c>
      <c r="B23" s="14" t="s">
        <v>18</v>
      </c>
      <c r="C23" s="15">
        <v>38.48</v>
      </c>
      <c r="D23" s="13" t="s">
        <v>19</v>
      </c>
      <c r="E23" s="15">
        <v>35.32</v>
      </c>
      <c r="F23" s="15">
        <v>5.0</v>
      </c>
      <c r="G23" s="15">
        <v>3.0</v>
      </c>
      <c r="H23" s="15">
        <v>5.0</v>
      </c>
      <c r="I23" s="16">
        <v>0.0</v>
      </c>
      <c r="J23" s="17">
        <f>IFERROR(__xludf.DUMMYFUNCTION("INDEX(GOOGLEFINANCE(A23, ""open"", $J$2, $J$2), 2, 2)"),36.67)</f>
        <v>36.67</v>
      </c>
      <c r="K23" s="17">
        <f>IFERROR(__xludf.DUMMYFUNCTION("INDEX(GOOGLEFINANCE(A23, ""close"", $K$2, $K$2), 2, 2)"),35.32)</f>
        <v>35.32</v>
      </c>
      <c r="L23" s="8">
        <f t="shared" si="1"/>
        <v>-3.681483501</v>
      </c>
      <c r="M23" s="18">
        <f t="shared" si="2"/>
        <v>-36.81483501</v>
      </c>
      <c r="N23" s="18" t="str">
        <f t="shared" si="3"/>
        <v>Put Spread</v>
      </c>
      <c r="O23" s="18" t="str">
        <f t="shared" si="4"/>
        <v>No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>
      <c r="A24" s="13" t="s">
        <v>296</v>
      </c>
      <c r="B24" s="14" t="s">
        <v>18</v>
      </c>
      <c r="C24" s="15">
        <v>116.6</v>
      </c>
      <c r="D24" s="13" t="s">
        <v>19</v>
      </c>
      <c r="E24" s="15">
        <v>109.26</v>
      </c>
      <c r="F24" s="15">
        <v>5.0</v>
      </c>
      <c r="G24" s="15">
        <v>1.0</v>
      </c>
      <c r="H24" s="15">
        <v>5.0</v>
      </c>
      <c r="I24" s="16">
        <v>0.0</v>
      </c>
      <c r="J24" s="17">
        <f>IFERROR(__xludf.DUMMYFUNCTION("INDEX(GOOGLEFINANCE(A24, ""open"", $J$2, $J$2), 2, 2)"),112.67)</f>
        <v>112.67</v>
      </c>
      <c r="K24" s="17">
        <f>IFERROR(__xludf.DUMMYFUNCTION("INDEX(GOOGLEFINANCE(A24, ""close"", $K$2, $K$2), 2, 2)"),108.59)</f>
        <v>108.59</v>
      </c>
      <c r="L24" s="8">
        <f t="shared" si="1"/>
        <v>-3.621194639</v>
      </c>
      <c r="M24" s="18">
        <f t="shared" si="2"/>
        <v>-36.21194639</v>
      </c>
      <c r="N24" s="18" t="str">
        <f t="shared" si="3"/>
        <v>Put Spread</v>
      </c>
      <c r="O24" s="18" t="str">
        <f t="shared" si="4"/>
        <v>No</v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>
      <c r="A25" s="13" t="s">
        <v>297</v>
      </c>
      <c r="B25" s="14" t="s">
        <v>18</v>
      </c>
      <c r="C25" s="15">
        <v>114.89</v>
      </c>
      <c r="D25" s="13" t="s">
        <v>19</v>
      </c>
      <c r="E25" s="15">
        <v>108.07</v>
      </c>
      <c r="F25" s="15">
        <v>5.0</v>
      </c>
      <c r="G25" s="15">
        <v>1.0</v>
      </c>
      <c r="H25" s="15">
        <v>5.0</v>
      </c>
      <c r="I25" s="16">
        <v>1.30039906639995</v>
      </c>
      <c r="J25" s="17">
        <f>IFERROR(__xludf.DUMMYFUNCTION("INDEX(GOOGLEFINANCE(A25, ""open"", $J$2, $J$2), 2, 2)"),110.88)</f>
        <v>110.88</v>
      </c>
      <c r="K25" s="17">
        <f>IFERROR(__xludf.DUMMYFUNCTION("INDEX(GOOGLEFINANCE(A25, ""close"", $K$2, $K$2), 2, 2)"),106.88)</f>
        <v>106.88</v>
      </c>
      <c r="L25" s="8">
        <f t="shared" si="1"/>
        <v>-3.607503608</v>
      </c>
      <c r="M25" s="18">
        <f t="shared" si="2"/>
        <v>-36.07503608</v>
      </c>
      <c r="N25" s="18" t="str">
        <f t="shared" si="3"/>
        <v>Put Spread</v>
      </c>
      <c r="O25" s="18" t="str">
        <f t="shared" si="4"/>
        <v>No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>
      <c r="A26" s="13" t="s">
        <v>298</v>
      </c>
      <c r="B26" s="14" t="s">
        <v>18</v>
      </c>
      <c r="C26" s="15">
        <v>80.35</v>
      </c>
      <c r="D26" s="13" t="s">
        <v>19</v>
      </c>
      <c r="E26" s="15">
        <v>77.39</v>
      </c>
      <c r="F26" s="15">
        <v>5.0</v>
      </c>
      <c r="G26" s="15">
        <v>2.0</v>
      </c>
      <c r="H26" s="15">
        <v>5.0</v>
      </c>
      <c r="I26" s="16">
        <v>0.0</v>
      </c>
      <c r="J26" s="17">
        <f>IFERROR(__xludf.DUMMYFUNCTION("INDEX(GOOGLEFINANCE(A26, ""open"", $J$2, $J$2), 2, 2)"),78.04)</f>
        <v>78.04</v>
      </c>
      <c r="K26" s="17">
        <f>IFERROR(__xludf.DUMMYFUNCTION("INDEX(GOOGLEFINANCE(A26, ""close"", $K$2, $K$2), 2, 2)"),75.26)</f>
        <v>75.26</v>
      </c>
      <c r="L26" s="8">
        <f t="shared" si="1"/>
        <v>-3.562275756</v>
      </c>
      <c r="M26" s="18">
        <f t="shared" si="2"/>
        <v>-35.62275756</v>
      </c>
      <c r="N26" s="18" t="str">
        <f t="shared" si="3"/>
        <v>Put Spread</v>
      </c>
      <c r="O26" s="18" t="str">
        <f t="shared" si="4"/>
        <v>No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>
      <c r="A27" s="13" t="s">
        <v>304</v>
      </c>
      <c r="B27" s="14" t="s">
        <v>18</v>
      </c>
      <c r="C27" s="15">
        <v>86.01</v>
      </c>
      <c r="D27" s="13" t="s">
        <v>19</v>
      </c>
      <c r="E27" s="15">
        <v>71.99</v>
      </c>
      <c r="F27" s="15">
        <v>5.0</v>
      </c>
      <c r="G27" s="15">
        <v>2.0</v>
      </c>
      <c r="H27" s="15">
        <v>5.0</v>
      </c>
      <c r="I27" s="16">
        <v>0.565460433344269</v>
      </c>
      <c r="J27" s="17">
        <f>IFERROR(__xludf.DUMMYFUNCTION("INDEX(GOOGLEFINANCE(A27, ""open"", $J$2, $J$2), 2, 2)"),77.18)</f>
        <v>77.18</v>
      </c>
      <c r="K27" s="17">
        <f>IFERROR(__xludf.DUMMYFUNCTION("INDEX(GOOGLEFINANCE(A27, ""close"", $K$2, $K$2), 2, 2)"),74.54)</f>
        <v>74.54</v>
      </c>
      <c r="L27" s="8">
        <f t="shared" si="1"/>
        <v>-3.420575279</v>
      </c>
      <c r="M27" s="18">
        <f t="shared" si="2"/>
        <v>-34.20575279</v>
      </c>
      <c r="N27" s="18" t="str">
        <f t="shared" si="3"/>
        <v>Put Spread</v>
      </c>
      <c r="O27" s="18" t="str">
        <f t="shared" si="4"/>
        <v>Success</v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>
      <c r="A28" s="13" t="s">
        <v>317</v>
      </c>
      <c r="B28" s="14" t="s">
        <v>18</v>
      </c>
      <c r="C28" s="15">
        <v>92.28</v>
      </c>
      <c r="D28" s="13" t="s">
        <v>19</v>
      </c>
      <c r="E28" s="15">
        <v>88.28</v>
      </c>
      <c r="F28" s="15">
        <v>5.0</v>
      </c>
      <c r="G28" s="15">
        <v>2.0</v>
      </c>
      <c r="H28" s="15">
        <v>5.0</v>
      </c>
      <c r="I28" s="16">
        <v>0.0</v>
      </c>
      <c r="J28" s="17">
        <f>IFERROR(__xludf.DUMMYFUNCTION("INDEX(GOOGLEFINANCE(A28, ""open"", $J$2, $J$2), 2, 2)"),90.49)</f>
        <v>90.49</v>
      </c>
      <c r="K28" s="17">
        <f>IFERROR(__xludf.DUMMYFUNCTION("INDEX(GOOGLEFINANCE(A28, ""close"", $K$2, $K$2), 2, 2)"),87.5)</f>
        <v>87.5</v>
      </c>
      <c r="L28" s="8">
        <f t="shared" si="1"/>
        <v>-3.304232512</v>
      </c>
      <c r="M28" s="18">
        <f t="shared" si="2"/>
        <v>-33.04232512</v>
      </c>
      <c r="N28" s="18" t="str">
        <f t="shared" si="3"/>
        <v>Put Spread</v>
      </c>
      <c r="O28" s="18" t="str">
        <f t="shared" si="4"/>
        <v>No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>
      <c r="A29" s="13" t="s">
        <v>323</v>
      </c>
      <c r="B29" s="14" t="s">
        <v>18</v>
      </c>
      <c r="C29" s="15">
        <v>190.76</v>
      </c>
      <c r="D29" s="13" t="s">
        <v>19</v>
      </c>
      <c r="E29" s="15">
        <v>184.7</v>
      </c>
      <c r="F29" s="15">
        <v>5.0</v>
      </c>
      <c r="G29" s="15">
        <v>2.0</v>
      </c>
      <c r="H29" s="15">
        <v>5.0</v>
      </c>
      <c r="I29" s="16">
        <v>0.0</v>
      </c>
      <c r="J29" s="17">
        <f>IFERROR(__xludf.DUMMYFUNCTION("INDEX(GOOGLEFINANCE(A29, ""open"", $J$2, $J$2), 2, 2)"),187.69)</f>
        <v>187.69</v>
      </c>
      <c r="K29" s="17">
        <f>IFERROR(__xludf.DUMMYFUNCTION("INDEX(GOOGLEFINANCE(A29, ""close"", $K$2, $K$2), 2, 2)"),183.63)</f>
        <v>183.63</v>
      </c>
      <c r="L29" s="8">
        <f t="shared" si="1"/>
        <v>-2.16314135</v>
      </c>
      <c r="M29" s="18">
        <f t="shared" si="2"/>
        <v>-21.6314135</v>
      </c>
      <c r="N29" s="18" t="str">
        <f t="shared" si="3"/>
        <v>Put Spread</v>
      </c>
      <c r="O29" s="18" t="str">
        <f t="shared" si="4"/>
        <v>No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>
      <c r="A30" s="13" t="s">
        <v>336</v>
      </c>
      <c r="B30" s="14" t="s">
        <v>18</v>
      </c>
      <c r="C30" s="15">
        <v>88.6</v>
      </c>
      <c r="D30" s="13" t="s">
        <v>19</v>
      </c>
      <c r="E30" s="15">
        <v>81.88</v>
      </c>
      <c r="F30" s="15">
        <v>5.0</v>
      </c>
      <c r="G30" s="15">
        <v>2.0</v>
      </c>
      <c r="H30" s="15">
        <v>5.0</v>
      </c>
      <c r="I30" s="16">
        <v>0.0</v>
      </c>
      <c r="J30" s="17">
        <f>IFERROR(__xludf.DUMMYFUNCTION("INDEX(GOOGLEFINANCE(A30, ""open"", $J$2, $J$2), 2, 2)"),85.31)</f>
        <v>85.31</v>
      </c>
      <c r="K30" s="17">
        <f>IFERROR(__xludf.DUMMYFUNCTION("INDEX(GOOGLEFINANCE(A30, ""close"", $K$2, $K$2), 2, 2)"),82.64)</f>
        <v>82.64</v>
      </c>
      <c r="L30" s="8">
        <f t="shared" si="1"/>
        <v>-3.129762044</v>
      </c>
      <c r="M30" s="18">
        <f t="shared" si="2"/>
        <v>-31.29762044</v>
      </c>
      <c r="N30" s="18" t="str">
        <f t="shared" si="3"/>
        <v>Put Spread</v>
      </c>
      <c r="O30" s="18" t="str">
        <f t="shared" si="4"/>
        <v>Success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>
      <c r="A31" s="13" t="s">
        <v>343</v>
      </c>
      <c r="B31" s="14" t="s">
        <v>18</v>
      </c>
      <c r="C31" s="15">
        <v>261.31</v>
      </c>
      <c r="D31" s="13" t="s">
        <v>19</v>
      </c>
      <c r="E31" s="15">
        <v>246.07</v>
      </c>
      <c r="F31" s="15">
        <v>5.0</v>
      </c>
      <c r="G31" s="15">
        <v>3.0</v>
      </c>
      <c r="H31" s="15">
        <v>5.0</v>
      </c>
      <c r="I31" s="16">
        <v>0.0</v>
      </c>
      <c r="J31" s="17">
        <f>IFERROR(__xludf.DUMMYFUNCTION("INDEX(GOOGLEFINANCE(A31, ""open"", $J$2, $J$2), 2, 2)"),252.35)</f>
        <v>252.35</v>
      </c>
      <c r="K31" s="17">
        <f>IFERROR(__xludf.DUMMYFUNCTION("INDEX(GOOGLEFINANCE(A31, ""close"", $K$2, $K$2), 2, 2)"),244.65)</f>
        <v>244.65</v>
      </c>
      <c r="L31" s="20">
        <f t="shared" si="1"/>
        <v>-3.051317614</v>
      </c>
      <c r="M31" s="18">
        <f t="shared" si="2"/>
        <v>-30.51317614</v>
      </c>
      <c r="N31" s="18" t="str">
        <f t="shared" si="3"/>
        <v>Put Spread</v>
      </c>
      <c r="O31" s="18" t="str">
        <f t="shared" si="4"/>
        <v>No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>
      <c r="A32" s="13" t="s">
        <v>358</v>
      </c>
      <c r="B32" s="14" t="s">
        <v>18</v>
      </c>
      <c r="C32" s="15">
        <v>14.98</v>
      </c>
      <c r="D32" s="13" t="s">
        <v>19</v>
      </c>
      <c r="E32" s="15">
        <v>12.96</v>
      </c>
      <c r="F32" s="15">
        <v>5.0</v>
      </c>
      <c r="G32" s="15">
        <v>3.0</v>
      </c>
      <c r="H32" s="15">
        <v>5.0</v>
      </c>
      <c r="I32" s="16">
        <v>0.0</v>
      </c>
      <c r="J32" s="17">
        <f>IFERROR(__xludf.DUMMYFUNCTION("INDEX(GOOGLEFINANCE(A32, ""open"", $J$2, $J$2), 2, 2)"),13.93)</f>
        <v>13.93</v>
      </c>
      <c r="K32" s="17">
        <f>IFERROR(__xludf.DUMMYFUNCTION("INDEX(GOOGLEFINANCE(A32, ""close"", $K$2, $K$2), 2, 2)"),13.53)</f>
        <v>13.53</v>
      </c>
      <c r="L32" s="20">
        <f t="shared" si="1"/>
        <v>-2.871500359</v>
      </c>
      <c r="M32" s="18">
        <f t="shared" si="2"/>
        <v>-28.71500359</v>
      </c>
      <c r="N32" s="18" t="str">
        <f t="shared" si="3"/>
        <v>Put Spread</v>
      </c>
      <c r="O32" s="18" t="str">
        <f t="shared" si="4"/>
        <v>Success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>
      <c r="A33" s="13" t="s">
        <v>364</v>
      </c>
      <c r="B33" s="14" t="s">
        <v>18</v>
      </c>
      <c r="C33" s="15">
        <v>306.31</v>
      </c>
      <c r="D33" s="13" t="s">
        <v>19</v>
      </c>
      <c r="E33" s="15">
        <v>290.93</v>
      </c>
      <c r="F33" s="15">
        <v>5.0</v>
      </c>
      <c r="G33" s="15">
        <v>1.0</v>
      </c>
      <c r="H33" s="15">
        <v>5.0</v>
      </c>
      <c r="I33" s="16">
        <v>0.0</v>
      </c>
      <c r="J33" s="17">
        <f>IFERROR(__xludf.DUMMYFUNCTION("INDEX(GOOGLEFINANCE(A33, ""open"", $J$2, $J$2), 2, 2)"),297.66)</f>
        <v>297.66</v>
      </c>
      <c r="K33" s="17">
        <f>IFERROR(__xludf.DUMMYFUNCTION("INDEX(GOOGLEFINANCE(A33, ""close"", $K$2, $K$2), 2, 2)"),289.37)</f>
        <v>289.37</v>
      </c>
      <c r="L33" s="8">
        <f t="shared" si="1"/>
        <v>-2.785056776</v>
      </c>
      <c r="M33" s="18">
        <f t="shared" si="2"/>
        <v>-27.85056776</v>
      </c>
      <c r="N33" s="18" t="str">
        <f t="shared" si="3"/>
        <v>Put Spread</v>
      </c>
      <c r="O33" s="18" t="str">
        <f t="shared" si="4"/>
        <v>No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>
      <c r="A34" s="13" t="s">
        <v>369</v>
      </c>
      <c r="B34" s="14" t="s">
        <v>18</v>
      </c>
      <c r="C34" s="15">
        <v>183.57</v>
      </c>
      <c r="D34" s="13" t="s">
        <v>19</v>
      </c>
      <c r="E34" s="15">
        <v>177.75</v>
      </c>
      <c r="F34" s="15">
        <v>5.0</v>
      </c>
      <c r="G34" s="15">
        <v>1.0</v>
      </c>
      <c r="H34" s="15">
        <v>5.0</v>
      </c>
      <c r="I34" s="16">
        <v>0.0</v>
      </c>
      <c r="J34" s="17">
        <f>IFERROR(__xludf.DUMMYFUNCTION("INDEX(GOOGLEFINANCE(A34, ""open"", $J$2, $J$2), 2, 2)"),180.48)</f>
        <v>180.48</v>
      </c>
      <c r="K34" s="17">
        <f>IFERROR(__xludf.DUMMYFUNCTION("INDEX(GOOGLEFINANCE(A34, ""close"", $K$2, $K$2), 2, 2)"),175.51)</f>
        <v>175.51</v>
      </c>
      <c r="L34" s="8">
        <f t="shared" si="1"/>
        <v>-2.75376773</v>
      </c>
      <c r="M34" s="18">
        <f t="shared" si="2"/>
        <v>-27.5376773</v>
      </c>
      <c r="N34" s="18" t="str">
        <f t="shared" si="3"/>
        <v>Put Spread</v>
      </c>
      <c r="O34" s="18" t="str">
        <f t="shared" si="4"/>
        <v>No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>
      <c r="A35" s="13" t="s">
        <v>375</v>
      </c>
      <c r="B35" s="14" t="s">
        <v>18</v>
      </c>
      <c r="C35" s="15">
        <v>29.85</v>
      </c>
      <c r="D35" s="13" t="s">
        <v>19</v>
      </c>
      <c r="E35" s="15">
        <v>28.21</v>
      </c>
      <c r="F35" s="15">
        <v>5.0</v>
      </c>
      <c r="G35" s="15">
        <v>2.0</v>
      </c>
      <c r="H35" s="15">
        <v>5.0</v>
      </c>
      <c r="I35" s="16">
        <v>-0.9990004</v>
      </c>
      <c r="J35" s="17">
        <f>IFERROR(__xludf.DUMMYFUNCTION("INDEX(GOOGLEFINANCE(A35, ""open"", $J$2, $J$2), 2, 2)"),29.07)</f>
        <v>29.07</v>
      </c>
      <c r="K35" s="17">
        <f>IFERROR(__xludf.DUMMYFUNCTION("INDEX(GOOGLEFINANCE(A35, ""close"", $K$2, $K$2), 2, 2)"),28.28)</f>
        <v>28.28</v>
      </c>
      <c r="L35" s="8">
        <f t="shared" si="1"/>
        <v>-2.717578259</v>
      </c>
      <c r="M35" s="18">
        <f t="shared" si="2"/>
        <v>-27.17578259</v>
      </c>
      <c r="N35" s="18" t="str">
        <f t="shared" si="3"/>
        <v>Put Spread</v>
      </c>
      <c r="O35" s="18" t="str">
        <f t="shared" si="4"/>
        <v>Success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>
      <c r="A36" s="13" t="s">
        <v>379</v>
      </c>
      <c r="B36" s="14" t="s">
        <v>18</v>
      </c>
      <c r="C36" s="15">
        <v>319.35</v>
      </c>
      <c r="D36" s="13" t="s">
        <v>19</v>
      </c>
      <c r="E36" s="15">
        <v>308.03</v>
      </c>
      <c r="F36" s="15">
        <v>5.0</v>
      </c>
      <c r="G36" s="15">
        <v>1.0</v>
      </c>
      <c r="H36" s="15">
        <v>5.0</v>
      </c>
      <c r="I36" s="16">
        <v>0.0</v>
      </c>
      <c r="J36" s="17">
        <f>IFERROR(__xludf.DUMMYFUNCTION("INDEX(GOOGLEFINANCE(A36, ""open"", $J$2, $J$2), 2, 2)"),314.2)</f>
        <v>314.2</v>
      </c>
      <c r="K36" s="17">
        <f>IFERROR(__xludf.DUMMYFUNCTION("INDEX(GOOGLEFINANCE(A36, ""close"", $K$2, $K$2), 2, 2)"),305.74)</f>
        <v>305.74</v>
      </c>
      <c r="L36" s="8">
        <f t="shared" si="1"/>
        <v>-2.692552514</v>
      </c>
      <c r="M36" s="18">
        <f t="shared" si="2"/>
        <v>-26.92552514</v>
      </c>
      <c r="N36" s="18" t="str">
        <f t="shared" si="3"/>
        <v>Put Spread</v>
      </c>
      <c r="O36" s="18" t="str">
        <f t="shared" si="4"/>
        <v>No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>
      <c r="A37" s="13" t="s">
        <v>390</v>
      </c>
      <c r="B37" s="14" t="s">
        <v>18</v>
      </c>
      <c r="C37" s="15">
        <v>86.52</v>
      </c>
      <c r="D37" s="13" t="s">
        <v>19</v>
      </c>
      <c r="E37" s="15">
        <v>83.0</v>
      </c>
      <c r="F37" s="15">
        <v>5.0</v>
      </c>
      <c r="G37" s="15">
        <v>3.0</v>
      </c>
      <c r="H37" s="15">
        <v>5.0</v>
      </c>
      <c r="I37" s="16">
        <v>0.0</v>
      </c>
      <c r="J37" s="17">
        <f>IFERROR(__xludf.DUMMYFUNCTION("INDEX(GOOGLEFINANCE(A37, ""open"", $J$2, $J$2), 2, 2)"),83.89)</f>
        <v>83.89</v>
      </c>
      <c r="K37" s="17">
        <f>IFERROR(__xludf.DUMMYFUNCTION("INDEX(GOOGLEFINANCE(A37, ""close"", $K$2, $K$2), 2, 2)"),81.7)</f>
        <v>81.7</v>
      </c>
      <c r="L37" s="8">
        <f t="shared" si="1"/>
        <v>-2.61056145</v>
      </c>
      <c r="M37" s="18">
        <f t="shared" si="2"/>
        <v>-26.1056145</v>
      </c>
      <c r="N37" s="18" t="str">
        <f t="shared" si="3"/>
        <v>Put Spread</v>
      </c>
      <c r="O37" s="18" t="str">
        <f t="shared" si="4"/>
        <v>No</v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>
      <c r="A38" s="13" t="s">
        <v>407</v>
      </c>
      <c r="B38" s="14" t="s">
        <v>18</v>
      </c>
      <c r="C38" s="15">
        <v>316.08</v>
      </c>
      <c r="D38" s="13" t="s">
        <v>19</v>
      </c>
      <c r="E38" s="15">
        <v>290.48</v>
      </c>
      <c r="F38" s="15">
        <v>5.0</v>
      </c>
      <c r="G38" s="15">
        <v>2.0</v>
      </c>
      <c r="H38" s="15">
        <v>5.0</v>
      </c>
      <c r="I38" s="16">
        <v>0.0</v>
      </c>
      <c r="J38" s="17">
        <f>IFERROR(__xludf.DUMMYFUNCTION("INDEX(GOOGLEFINANCE(A38, ""open"", $J$2, $J$2), 2, 2)"),304.58)</f>
        <v>304.58</v>
      </c>
      <c r="K38" s="17">
        <f>IFERROR(__xludf.DUMMYFUNCTION("INDEX(GOOGLEFINANCE(A38, ""close"", $K$2, $K$2), 2, 2)"),297.02)</f>
        <v>297.02</v>
      </c>
      <c r="L38" s="8">
        <f t="shared" si="1"/>
        <v>-2.482106507</v>
      </c>
      <c r="M38" s="18">
        <f t="shared" si="2"/>
        <v>-24.82106507</v>
      </c>
      <c r="N38" s="18" t="str">
        <f t="shared" si="3"/>
        <v>Put Spread</v>
      </c>
      <c r="O38" s="18" t="str">
        <f t="shared" si="4"/>
        <v>Success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>
      <c r="A39" s="13" t="s">
        <v>410</v>
      </c>
      <c r="B39" s="14" t="s">
        <v>18</v>
      </c>
      <c r="C39" s="15">
        <v>134.19</v>
      </c>
      <c r="D39" s="13" t="s">
        <v>19</v>
      </c>
      <c r="E39" s="15">
        <v>129.77</v>
      </c>
      <c r="F39" s="15">
        <v>5.0</v>
      </c>
      <c r="G39" s="15">
        <v>1.0</v>
      </c>
      <c r="H39" s="15">
        <v>5.0</v>
      </c>
      <c r="I39" s="16">
        <v>0.0</v>
      </c>
      <c r="J39" s="17">
        <f>IFERROR(__xludf.DUMMYFUNCTION("INDEX(GOOGLEFINANCE(A39, ""open"", $J$2, $J$2), 2, 2)"),131.67)</f>
        <v>131.67</v>
      </c>
      <c r="K39" s="17">
        <f>IFERROR(__xludf.DUMMYFUNCTION("INDEX(GOOGLEFINANCE(A39, ""close"", $K$2, $K$2), 2, 2)"),129.93)</f>
        <v>129.93</v>
      </c>
      <c r="L39" s="8">
        <f t="shared" si="1"/>
        <v>-1.321485532</v>
      </c>
      <c r="M39" s="18">
        <f t="shared" si="2"/>
        <v>-13.21485532</v>
      </c>
      <c r="N39" s="18" t="str">
        <f t="shared" si="3"/>
        <v>Put Spread</v>
      </c>
      <c r="O39" s="18" t="str">
        <f t="shared" si="4"/>
        <v>Success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>
      <c r="A40" s="13" t="s">
        <v>428</v>
      </c>
      <c r="B40" s="14" t="s">
        <v>18</v>
      </c>
      <c r="C40" s="15">
        <v>200.67</v>
      </c>
      <c r="D40" s="13" t="s">
        <v>19</v>
      </c>
      <c r="E40" s="15">
        <v>185.69</v>
      </c>
      <c r="F40" s="15">
        <v>5.0</v>
      </c>
      <c r="G40" s="15">
        <v>2.0</v>
      </c>
      <c r="H40" s="15">
        <v>5.0</v>
      </c>
      <c r="I40" s="16">
        <v>0.0</v>
      </c>
      <c r="J40" s="17">
        <f>IFERROR(__xludf.DUMMYFUNCTION("INDEX(GOOGLEFINANCE(A40, ""open"", $J$2, $J$2), 2, 2)"),193.65)</f>
        <v>193.65</v>
      </c>
      <c r="K40" s="17">
        <f>IFERROR(__xludf.DUMMYFUNCTION("INDEX(GOOGLEFINANCE(A40, ""close"", $K$2, $K$2), 2, 2)"),189.13)</f>
        <v>189.13</v>
      </c>
      <c r="L40" s="20">
        <f t="shared" si="1"/>
        <v>-2.334107927</v>
      </c>
      <c r="M40" s="18">
        <f t="shared" si="2"/>
        <v>-23.34107927</v>
      </c>
      <c r="N40" s="18" t="str">
        <f t="shared" si="3"/>
        <v>Put Spread</v>
      </c>
      <c r="O40" s="18" t="str">
        <f t="shared" si="4"/>
        <v>Success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>
      <c r="A41" s="13" t="s">
        <v>431</v>
      </c>
      <c r="B41" s="14" t="s">
        <v>18</v>
      </c>
      <c r="C41" s="15">
        <v>59.24</v>
      </c>
      <c r="D41" s="13" t="s">
        <v>19</v>
      </c>
      <c r="E41" s="15">
        <v>56.56</v>
      </c>
      <c r="F41" s="15">
        <v>5.0</v>
      </c>
      <c r="G41" s="15">
        <v>2.0</v>
      </c>
      <c r="H41" s="15">
        <v>5.0</v>
      </c>
      <c r="I41" s="16">
        <v>0.0</v>
      </c>
      <c r="J41" s="17">
        <f>IFERROR(__xludf.DUMMYFUNCTION("INDEX(GOOGLEFINANCE(A41, ""open"", $J$2, $J$2), 2, 2)"),57.9)</f>
        <v>57.9</v>
      </c>
      <c r="K41" s="17">
        <f>IFERROR(__xludf.DUMMYFUNCTION("INDEX(GOOGLEFINANCE(A41, ""close"", $K$2, $K$2), 2, 2)"),56.57)</f>
        <v>56.57</v>
      </c>
      <c r="L41" s="8">
        <f t="shared" si="1"/>
        <v>-2.297063903</v>
      </c>
      <c r="M41" s="18">
        <f t="shared" si="2"/>
        <v>-22.97063903</v>
      </c>
      <c r="N41" s="18" t="str">
        <f t="shared" si="3"/>
        <v>Put Spread</v>
      </c>
      <c r="O41" s="18" t="str">
        <f t="shared" si="4"/>
        <v>Success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>
      <c r="A42" s="13" t="s">
        <v>443</v>
      </c>
      <c r="B42" s="14" t="s">
        <v>18</v>
      </c>
      <c r="C42" s="15">
        <v>62.71</v>
      </c>
      <c r="D42" s="13" t="s">
        <v>19</v>
      </c>
      <c r="E42" s="15">
        <v>60.29</v>
      </c>
      <c r="F42" s="15">
        <v>5.0</v>
      </c>
      <c r="G42" s="15">
        <v>1.0</v>
      </c>
      <c r="H42" s="15">
        <v>5.0</v>
      </c>
      <c r="I42" s="16">
        <v>0.0</v>
      </c>
      <c r="J42" s="17">
        <f>IFERROR(__xludf.DUMMYFUNCTION("INDEX(GOOGLEFINANCE(A42, ""open"", $J$2, $J$2), 2, 2)"),61.24)</f>
        <v>61.24</v>
      </c>
      <c r="K42" s="17">
        <f>IFERROR(__xludf.DUMMYFUNCTION("INDEX(GOOGLEFINANCE(A42, ""close"", $K$2, $K$2), 2, 2)"),59.9)</f>
        <v>59.9</v>
      </c>
      <c r="L42" s="8">
        <f t="shared" si="1"/>
        <v>-2.188112345</v>
      </c>
      <c r="M42" s="18">
        <f t="shared" si="2"/>
        <v>-21.88112345</v>
      </c>
      <c r="N42" s="18" t="str">
        <f t="shared" si="3"/>
        <v>Put Spread</v>
      </c>
      <c r="O42" s="18" t="str">
        <f t="shared" si="4"/>
        <v>No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>
      <c r="A43" s="13" t="s">
        <v>444</v>
      </c>
      <c r="B43" s="14" t="s">
        <v>18</v>
      </c>
      <c r="C43" s="15">
        <v>32.4</v>
      </c>
      <c r="D43" s="13" t="s">
        <v>19</v>
      </c>
      <c r="E43" s="15">
        <v>30.82</v>
      </c>
      <c r="F43" s="15">
        <v>5.0</v>
      </c>
      <c r="G43" s="15">
        <v>3.0</v>
      </c>
      <c r="H43" s="15">
        <v>5.0</v>
      </c>
      <c r="I43" s="16">
        <v>-0.5675932</v>
      </c>
      <c r="J43" s="17">
        <f>IFERROR(__xludf.DUMMYFUNCTION("INDEX(GOOGLEFINANCE(A43, ""open"", $J$2, $J$2), 2, 2)"),31.64)</f>
        <v>31.64</v>
      </c>
      <c r="K43" s="17">
        <f>IFERROR(__xludf.DUMMYFUNCTION("INDEX(GOOGLEFINANCE(A43, ""close"", $K$2, $K$2), 2, 2)"),30.96)</f>
        <v>30.96</v>
      </c>
      <c r="L43" s="8">
        <f t="shared" si="1"/>
        <v>-2.149178255</v>
      </c>
      <c r="M43" s="18">
        <f t="shared" si="2"/>
        <v>-21.49178255</v>
      </c>
      <c r="N43" s="18" t="str">
        <f t="shared" si="3"/>
        <v>Put Spread</v>
      </c>
      <c r="O43" s="18" t="str">
        <f t="shared" si="4"/>
        <v>Success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>
      <c r="A44" s="13" t="s">
        <v>464</v>
      </c>
      <c r="B44" s="14" t="s">
        <v>18</v>
      </c>
      <c r="C44" s="15">
        <v>484.58</v>
      </c>
      <c r="D44" s="13" t="s">
        <v>19</v>
      </c>
      <c r="E44" s="15">
        <v>461.2</v>
      </c>
      <c r="F44" s="15">
        <v>5.0</v>
      </c>
      <c r="G44" s="15">
        <v>2.0</v>
      </c>
      <c r="H44" s="15">
        <v>5.0</v>
      </c>
      <c r="I44" s="16">
        <v>0.0</v>
      </c>
      <c r="J44" s="17">
        <f>IFERROR(__xludf.DUMMYFUNCTION("INDEX(GOOGLEFINANCE(A44, ""open"", $J$2, $J$2), 2, 2)"),468.75)</f>
        <v>468.75</v>
      </c>
      <c r="K44" s="17">
        <f>IFERROR(__xludf.DUMMYFUNCTION("INDEX(GOOGLEFINANCE(A44, ""close"", $K$2, $K$2), 2, 2)"),459.41)</f>
        <v>459.41</v>
      </c>
      <c r="L44" s="8">
        <f t="shared" si="1"/>
        <v>-1.992533333</v>
      </c>
      <c r="M44" s="18">
        <f t="shared" si="2"/>
        <v>-19.92533333</v>
      </c>
      <c r="N44" s="18" t="str">
        <f t="shared" si="3"/>
        <v>Put Spread</v>
      </c>
      <c r="O44" s="18" t="str">
        <f t="shared" si="4"/>
        <v>No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>
      <c r="A45" s="13" t="s">
        <v>474</v>
      </c>
      <c r="B45" s="14" t="s">
        <v>18</v>
      </c>
      <c r="C45" s="15">
        <v>194.52</v>
      </c>
      <c r="D45" s="13" t="s">
        <v>19</v>
      </c>
      <c r="E45" s="15">
        <v>177.92</v>
      </c>
      <c r="F45" s="15">
        <v>5.0</v>
      </c>
      <c r="G45" s="15">
        <v>2.0</v>
      </c>
      <c r="H45" s="15">
        <v>5.0</v>
      </c>
      <c r="I45" s="16">
        <v>2.31397092634185</v>
      </c>
      <c r="J45" s="17">
        <f>IFERROR(__xludf.DUMMYFUNCTION("INDEX(GOOGLEFINANCE(A45, ""open"", $J$2, $J$2), 2, 2)"),186.22)</f>
        <v>186.22</v>
      </c>
      <c r="K45" s="17">
        <f>IFERROR(__xludf.DUMMYFUNCTION("INDEX(GOOGLEFINANCE(A45, ""close"", $K$2, $K$2), 2, 2)"),182.83)</f>
        <v>182.83</v>
      </c>
      <c r="L45" s="8">
        <f t="shared" si="1"/>
        <v>-1.820427451</v>
      </c>
      <c r="M45" s="18">
        <f t="shared" si="2"/>
        <v>-18.20427451</v>
      </c>
      <c r="N45" s="18" t="str">
        <f t="shared" si="3"/>
        <v>Put Spread</v>
      </c>
      <c r="O45" s="18" t="str">
        <f t="shared" si="4"/>
        <v>Success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>
      <c r="A46" s="13" t="s">
        <v>483</v>
      </c>
      <c r="B46" s="14" t="s">
        <v>18</v>
      </c>
      <c r="C46" s="15">
        <v>11.81</v>
      </c>
      <c r="D46" s="13" t="s">
        <v>19</v>
      </c>
      <c r="E46" s="15">
        <v>11.05</v>
      </c>
      <c r="F46" s="15">
        <v>5.0</v>
      </c>
      <c r="G46" s="15">
        <v>2.0</v>
      </c>
      <c r="H46" s="15">
        <v>5.0</v>
      </c>
      <c r="I46" s="16">
        <v>0.674277958168259</v>
      </c>
      <c r="J46" s="17">
        <f>IFERROR(__xludf.DUMMYFUNCTION("INDEX(GOOGLEFINANCE(A46, ""open"", $J$2, $J$2), 2, 2)"),11.14)</f>
        <v>11.14</v>
      </c>
      <c r="K46" s="17">
        <f>IFERROR(__xludf.DUMMYFUNCTION("INDEX(GOOGLEFINANCE(A46, ""close"", $K$2, $K$2), 2, 2)"),10.96)</f>
        <v>10.96</v>
      </c>
      <c r="L46" s="8">
        <f t="shared" si="1"/>
        <v>-1.615798923</v>
      </c>
      <c r="M46" s="18">
        <f t="shared" si="2"/>
        <v>-16.15798923</v>
      </c>
      <c r="N46" s="18" t="str">
        <f t="shared" si="3"/>
        <v>Put Spread</v>
      </c>
      <c r="O46" s="18" t="str">
        <f t="shared" si="4"/>
        <v>No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>
      <c r="A47" s="13" t="s">
        <v>487</v>
      </c>
      <c r="B47" s="14" t="s">
        <v>18</v>
      </c>
      <c r="C47" s="15">
        <v>242.07</v>
      </c>
      <c r="D47" s="13" t="s">
        <v>19</v>
      </c>
      <c r="E47" s="15">
        <v>225.77</v>
      </c>
      <c r="F47" s="15">
        <v>5.0</v>
      </c>
      <c r="G47" s="15">
        <v>2.0</v>
      </c>
      <c r="H47" s="15">
        <v>5.0</v>
      </c>
      <c r="I47" s="16">
        <v>1.63880198382807</v>
      </c>
      <c r="J47" s="17">
        <f>IFERROR(__xludf.DUMMYFUNCTION("INDEX(GOOGLEFINANCE(A47, ""open"", $J$2, $J$2), 2, 2)"),232.21)</f>
        <v>232.21</v>
      </c>
      <c r="K47" s="17">
        <f>IFERROR(__xludf.DUMMYFUNCTION("INDEX(GOOGLEFINANCE(A47, ""close"", $K$2, $K$2), 2, 2)"),228.57)</f>
        <v>228.57</v>
      </c>
      <c r="L47" s="20">
        <f t="shared" si="1"/>
        <v>-1.567546617</v>
      </c>
      <c r="M47" s="18">
        <f t="shared" si="2"/>
        <v>-15.67546617</v>
      </c>
      <c r="N47" s="18" t="str">
        <f t="shared" si="3"/>
        <v>Put Spread</v>
      </c>
      <c r="O47" s="18" t="str">
        <f t="shared" si="4"/>
        <v>Success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>
      <c r="A48" s="13" t="s">
        <v>491</v>
      </c>
      <c r="B48" s="14" t="s">
        <v>18</v>
      </c>
      <c r="C48" s="15">
        <v>10.45</v>
      </c>
      <c r="D48" s="13" t="s">
        <v>19</v>
      </c>
      <c r="E48" s="15">
        <v>9.55</v>
      </c>
      <c r="F48" s="15">
        <v>5.0</v>
      </c>
      <c r="G48" s="15">
        <v>3.0</v>
      </c>
      <c r="H48" s="15">
        <v>5.0</v>
      </c>
      <c r="I48" s="16">
        <v>0.0</v>
      </c>
      <c r="J48" s="17">
        <f>IFERROR(__xludf.DUMMYFUNCTION("INDEX(GOOGLEFINANCE(A48, ""open"", $J$2, $J$2), 2, 2)"),9.86)</f>
        <v>9.86</v>
      </c>
      <c r="K48" s="17">
        <f>IFERROR(__xludf.DUMMYFUNCTION("INDEX(GOOGLEFINANCE(A48, ""close"", $K$2, $K$2), 2, 2)"),9.71)</f>
        <v>9.71</v>
      </c>
      <c r="L48" s="8">
        <f t="shared" si="1"/>
        <v>-1.521298174</v>
      </c>
      <c r="M48" s="18">
        <f t="shared" si="2"/>
        <v>-15.21298174</v>
      </c>
      <c r="N48" s="18" t="str">
        <f t="shared" si="3"/>
        <v>Put Spread</v>
      </c>
      <c r="O48" s="18" t="str">
        <f t="shared" si="4"/>
        <v>Success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>
      <c r="A49" s="13" t="s">
        <v>517</v>
      </c>
      <c r="B49" s="14" t="s">
        <v>18</v>
      </c>
      <c r="C49" s="15">
        <v>817.24</v>
      </c>
      <c r="D49" s="13" t="s">
        <v>19</v>
      </c>
      <c r="E49" s="15">
        <v>754.66</v>
      </c>
      <c r="F49" s="15">
        <v>5.0</v>
      </c>
      <c r="G49" s="15">
        <v>3.0</v>
      </c>
      <c r="H49" s="15">
        <v>5.0</v>
      </c>
      <c r="I49" s="16">
        <v>0.0</v>
      </c>
      <c r="J49" s="17">
        <f>IFERROR(__xludf.DUMMYFUNCTION("INDEX(GOOGLEFINANCE(A49, ""open"", $J$2, $J$2), 2, 2)"),785.03)</f>
        <v>785.03</v>
      </c>
      <c r="K49" s="17">
        <f>IFERROR(__xludf.DUMMYFUNCTION("INDEX(GOOGLEFINANCE(A49, ""close"", $K$2, $K$2), 2, 2)"),776.15)</f>
        <v>776.15</v>
      </c>
      <c r="L49" s="8">
        <f t="shared" si="1"/>
        <v>-1.131166962</v>
      </c>
      <c r="M49" s="18">
        <f t="shared" si="2"/>
        <v>-11.31166962</v>
      </c>
      <c r="N49" s="18" t="str">
        <f t="shared" si="3"/>
        <v>Put Spread</v>
      </c>
      <c r="O49" s="18" t="str">
        <f t="shared" si="4"/>
        <v>Success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>
      <c r="A50" s="13" t="s">
        <v>526</v>
      </c>
      <c r="B50" s="14" t="s">
        <v>18</v>
      </c>
      <c r="C50" s="15">
        <v>321.86</v>
      </c>
      <c r="D50" s="13" t="s">
        <v>19</v>
      </c>
      <c r="E50" s="15">
        <v>306.18</v>
      </c>
      <c r="F50" s="15">
        <v>5.0</v>
      </c>
      <c r="G50" s="15">
        <v>1.0</v>
      </c>
      <c r="H50" s="15">
        <v>5.0</v>
      </c>
      <c r="I50" s="16">
        <v>0.0</v>
      </c>
      <c r="J50" s="17">
        <f>IFERROR(__xludf.DUMMYFUNCTION("INDEX(GOOGLEFINANCE(A50, ""open"", $J$2, $J$2), 2, 2)"),313.67)</f>
        <v>313.67</v>
      </c>
      <c r="K50" s="17">
        <f>IFERROR(__xludf.DUMMYFUNCTION("INDEX(GOOGLEFINANCE(A50, ""close"", $K$2, $K$2), 2, 2)"),310.74)</f>
        <v>310.74</v>
      </c>
      <c r="L50" s="8">
        <f t="shared" si="1"/>
        <v>-0.9341027194</v>
      </c>
      <c r="M50" s="18">
        <f t="shared" si="2"/>
        <v>-9.341027194</v>
      </c>
      <c r="N50" s="18" t="str">
        <f t="shared" si="3"/>
        <v>Put Spread</v>
      </c>
      <c r="O50" s="18" t="str">
        <f t="shared" si="4"/>
        <v>Success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>
      <c r="A51" s="13" t="s">
        <v>535</v>
      </c>
      <c r="B51" s="14" t="s">
        <v>18</v>
      </c>
      <c r="C51" s="15">
        <v>22.93</v>
      </c>
      <c r="D51" s="13" t="s">
        <v>19</v>
      </c>
      <c r="E51" s="15">
        <v>20.55</v>
      </c>
      <c r="F51" s="15">
        <v>5.0</v>
      </c>
      <c r="G51" s="15">
        <v>3.0</v>
      </c>
      <c r="H51" s="15">
        <v>5.0</v>
      </c>
      <c r="I51" s="16">
        <v>0.0</v>
      </c>
      <c r="J51" s="17">
        <f>IFERROR(__xludf.DUMMYFUNCTION("INDEX(GOOGLEFINANCE(A51, ""open"", $J$2, $J$2), 2, 2)"),21.54)</f>
        <v>21.54</v>
      </c>
      <c r="K51" s="17">
        <f>IFERROR(__xludf.DUMMYFUNCTION("INDEX(GOOGLEFINANCE(A51, ""close"", $K$2, $K$2), 2, 2)"),21.37)</f>
        <v>21.37</v>
      </c>
      <c r="L51" s="8">
        <f t="shared" si="1"/>
        <v>-0.7892293408</v>
      </c>
      <c r="M51" s="18">
        <f t="shared" si="2"/>
        <v>-7.892293408</v>
      </c>
      <c r="N51" s="18" t="str">
        <f t="shared" si="3"/>
        <v>Put Spread</v>
      </c>
      <c r="O51" s="18" t="str">
        <f t="shared" si="4"/>
        <v>Success</v>
      </c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>
      <c r="A52" s="13" t="s">
        <v>542</v>
      </c>
      <c r="B52" s="14" t="s">
        <v>18</v>
      </c>
      <c r="C52" s="15">
        <v>77.41</v>
      </c>
      <c r="D52" s="13" t="s">
        <v>19</v>
      </c>
      <c r="E52" s="15">
        <v>73.95</v>
      </c>
      <c r="F52" s="15">
        <v>5.0</v>
      </c>
      <c r="G52" s="15">
        <v>2.0</v>
      </c>
      <c r="H52" s="15">
        <v>5.0</v>
      </c>
      <c r="I52" s="16">
        <v>0.0</v>
      </c>
      <c r="J52" s="17">
        <f>IFERROR(__xludf.DUMMYFUNCTION("INDEX(GOOGLEFINANCE(A52, ""open"", $J$2, $J$2), 2, 2)"),74.58)</f>
        <v>74.58</v>
      </c>
      <c r="K52" s="17">
        <f>IFERROR(__xludf.DUMMYFUNCTION("INDEX(GOOGLEFINANCE(A52, ""close"", $K$2, $K$2), 2, 2)"),74.07)</f>
        <v>74.07</v>
      </c>
      <c r="L52" s="8">
        <f t="shared" si="1"/>
        <v>-0.6838294449</v>
      </c>
      <c r="M52" s="18">
        <f t="shared" si="2"/>
        <v>-6.838294449</v>
      </c>
      <c r="N52" s="18" t="str">
        <f t="shared" si="3"/>
        <v>Put Spread</v>
      </c>
      <c r="O52" s="18" t="str">
        <f t="shared" si="4"/>
        <v>Success</v>
      </c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>
      <c r="A53" s="13" t="s">
        <v>553</v>
      </c>
      <c r="B53" s="14" t="s">
        <v>18</v>
      </c>
      <c r="C53" s="15">
        <v>272.25</v>
      </c>
      <c r="D53" s="13" t="s">
        <v>19</v>
      </c>
      <c r="E53" s="15">
        <v>257.67</v>
      </c>
      <c r="F53" s="15">
        <v>5.0</v>
      </c>
      <c r="G53" s="15">
        <v>1.0</v>
      </c>
      <c r="H53" s="15">
        <v>5.0</v>
      </c>
      <c r="I53" s="16">
        <v>-2.4017901</v>
      </c>
      <c r="J53" s="17">
        <f>IFERROR(__xludf.DUMMYFUNCTION("INDEX(GOOGLEFINANCE(A53, ""open"", $J$2, $J$2), 2, 2)"),262.88)</f>
        <v>262.88</v>
      </c>
      <c r="K53" s="17">
        <f>IFERROR(__xludf.DUMMYFUNCTION("INDEX(GOOGLEFINANCE(A53, ""close"", $K$2, $K$2), 2, 2)"),261.5)</f>
        <v>261.5</v>
      </c>
      <c r="L53" s="20">
        <f t="shared" si="1"/>
        <v>-0.5249543518</v>
      </c>
      <c r="M53" s="18">
        <f t="shared" si="2"/>
        <v>-5.249543518</v>
      </c>
      <c r="N53" s="18" t="str">
        <f t="shared" si="3"/>
        <v>Put Spread</v>
      </c>
      <c r="O53" s="18" t="str">
        <f t="shared" si="4"/>
        <v>Success</v>
      </c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>
      <c r="A54" s="13" t="s">
        <v>562</v>
      </c>
      <c r="B54" s="14" t="s">
        <v>18</v>
      </c>
      <c r="C54" s="15">
        <v>43.97</v>
      </c>
      <c r="D54" s="13" t="s">
        <v>19</v>
      </c>
      <c r="E54" s="15">
        <v>42.19</v>
      </c>
      <c r="F54" s="15">
        <v>5.0</v>
      </c>
      <c r="G54" s="15">
        <v>1.0</v>
      </c>
      <c r="H54" s="15">
        <v>5.0</v>
      </c>
      <c r="I54" s="16">
        <v>3.1387197274693</v>
      </c>
      <c r="J54" s="17">
        <f>IFERROR(__xludf.DUMMYFUNCTION("INDEX(GOOGLEFINANCE(A54, ""open"", $J$2, $J$2), 2, 2)"),43.02)</f>
        <v>43.02</v>
      </c>
      <c r="K54" s="17">
        <f>IFERROR(__xludf.DUMMYFUNCTION("INDEX(GOOGLEFINANCE(A54, ""close"", $K$2, $K$2), 2, 2)"),42.88)</f>
        <v>42.88</v>
      </c>
      <c r="L54" s="8">
        <f t="shared" si="1"/>
        <v>-0.3254300325</v>
      </c>
      <c r="M54" s="18">
        <f t="shared" si="2"/>
        <v>-3.254300325</v>
      </c>
      <c r="N54" s="18" t="str">
        <f t="shared" si="3"/>
        <v>Put Spread</v>
      </c>
      <c r="O54" s="18" t="str">
        <f t="shared" si="4"/>
        <v>Success</v>
      </c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>
      <c r="A55" s="13" t="s">
        <v>565</v>
      </c>
      <c r="B55" s="14" t="s">
        <v>18</v>
      </c>
      <c r="C55" s="15">
        <v>59.54</v>
      </c>
      <c r="D55" s="13" t="s">
        <v>19</v>
      </c>
      <c r="E55" s="15">
        <v>56.64</v>
      </c>
      <c r="F55" s="15">
        <v>5.0</v>
      </c>
      <c r="G55" s="15">
        <v>1.0</v>
      </c>
      <c r="H55" s="15">
        <v>5.0</v>
      </c>
      <c r="I55" s="16">
        <v>-0.6185868</v>
      </c>
      <c r="J55" s="17">
        <f>IFERROR(__xludf.DUMMYFUNCTION("INDEX(GOOGLEFINANCE(A55, ""open"", $J$2, $J$2), 2, 2)"),57.91)</f>
        <v>57.91</v>
      </c>
      <c r="K55" s="17">
        <f>IFERROR(__xludf.DUMMYFUNCTION("INDEX(GOOGLEFINANCE(A55, ""close"", $K$2, $K$2), 2, 2)"),57.74)</f>
        <v>57.74</v>
      </c>
      <c r="L55" s="8">
        <f t="shared" si="1"/>
        <v>-0.2935589708</v>
      </c>
      <c r="M55" s="18">
        <f t="shared" si="2"/>
        <v>-2.935589708</v>
      </c>
      <c r="N55" s="18" t="str">
        <f t="shared" si="3"/>
        <v>Put Spread</v>
      </c>
      <c r="O55" s="18" t="str">
        <f t="shared" si="4"/>
        <v>Success</v>
      </c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>
      <c r="A56" s="13" t="s">
        <v>566</v>
      </c>
      <c r="B56" s="14" t="s">
        <v>18</v>
      </c>
      <c r="C56" s="15">
        <v>81.02</v>
      </c>
      <c r="D56" s="13" t="s">
        <v>19</v>
      </c>
      <c r="E56" s="15">
        <v>70.2</v>
      </c>
      <c r="F56" s="15">
        <v>5.0</v>
      </c>
      <c r="G56" s="15">
        <v>2.0</v>
      </c>
      <c r="H56" s="15">
        <v>5.0</v>
      </c>
      <c r="I56" s="16">
        <v>1.35117117113777</v>
      </c>
      <c r="J56" s="17">
        <f>IFERROR(__xludf.DUMMYFUNCTION("INDEX(GOOGLEFINANCE(A56, ""open"", $J$2, $J$2), 2, 2)"),76.43)</f>
        <v>76.43</v>
      </c>
      <c r="K56" s="17">
        <f>IFERROR(__xludf.DUMMYFUNCTION("INDEX(GOOGLEFINANCE(A56, ""close"", $K$2, $K$2), 2, 2)"),76.21)</f>
        <v>76.21</v>
      </c>
      <c r="L56" s="8">
        <f t="shared" si="1"/>
        <v>-0.287845087</v>
      </c>
      <c r="M56" s="18">
        <f t="shared" si="2"/>
        <v>-2.87845087</v>
      </c>
      <c r="N56" s="18" t="str">
        <f t="shared" si="3"/>
        <v>Put Spread</v>
      </c>
      <c r="O56" s="18" t="str">
        <f t="shared" si="4"/>
        <v>Success</v>
      </c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>
      <c r="A57" s="13" t="s">
        <v>567</v>
      </c>
      <c r="B57" s="14" t="s">
        <v>18</v>
      </c>
      <c r="C57" s="15">
        <v>228.92</v>
      </c>
      <c r="D57" s="13" t="s">
        <v>19</v>
      </c>
      <c r="E57" s="15">
        <v>218.2</v>
      </c>
      <c r="F57" s="15">
        <v>5.0</v>
      </c>
      <c r="G57" s="15">
        <v>1.0</v>
      </c>
      <c r="H57" s="15">
        <v>5.0</v>
      </c>
      <c r="I57" s="16">
        <v>0.0</v>
      </c>
      <c r="J57" s="17">
        <f>IFERROR(__xludf.DUMMYFUNCTION("INDEX(GOOGLEFINANCE(A57, ""open"", $J$2, $J$2), 2, 2)"),222.13)</f>
        <v>222.13</v>
      </c>
      <c r="K57" s="17">
        <f>IFERROR(__xludf.DUMMYFUNCTION("INDEX(GOOGLEFINANCE(A57, ""close"", $K$2, $K$2), 2, 2)"),221.5)</f>
        <v>221.5</v>
      </c>
      <c r="L57" s="8">
        <f t="shared" si="1"/>
        <v>-0.2836177013</v>
      </c>
      <c r="M57" s="18">
        <f t="shared" si="2"/>
        <v>-2.836177013</v>
      </c>
      <c r="N57" s="18" t="str">
        <f t="shared" si="3"/>
        <v>Put Spread</v>
      </c>
      <c r="O57" s="18" t="str">
        <f t="shared" si="4"/>
        <v>Success</v>
      </c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>
      <c r="A58" s="13" t="s">
        <v>572</v>
      </c>
      <c r="B58" s="14" t="s">
        <v>18</v>
      </c>
      <c r="C58" s="15">
        <v>97.62</v>
      </c>
      <c r="D58" s="13" t="s">
        <v>19</v>
      </c>
      <c r="E58" s="15">
        <v>93.08</v>
      </c>
      <c r="F58" s="15">
        <v>5.0</v>
      </c>
      <c r="G58" s="15">
        <v>1.0</v>
      </c>
      <c r="H58" s="15">
        <v>5.0</v>
      </c>
      <c r="I58" s="16">
        <v>0.0</v>
      </c>
      <c r="J58" s="17">
        <f>IFERROR(__xludf.DUMMYFUNCTION("INDEX(GOOGLEFINANCE(A58, ""open"", $J$2, $J$2), 2, 2)"),95.2)</f>
        <v>95.2</v>
      </c>
      <c r="K58" s="17">
        <f>IFERROR(__xludf.DUMMYFUNCTION("INDEX(GOOGLEFINANCE(A58, ""close"", $K$2, $K$2), 2, 2)"),94.99)</f>
        <v>94.99</v>
      </c>
      <c r="L58" s="8">
        <f t="shared" si="1"/>
        <v>-0.2205882353</v>
      </c>
      <c r="M58" s="18">
        <f t="shared" si="2"/>
        <v>-2.205882353</v>
      </c>
      <c r="N58" s="18" t="str">
        <f t="shared" si="3"/>
        <v>Put Spread</v>
      </c>
      <c r="O58" s="18" t="str">
        <f t="shared" si="4"/>
        <v>Success</v>
      </c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>
      <c r="A59" s="13" t="s">
        <v>573</v>
      </c>
      <c r="B59" s="14" t="s">
        <v>18</v>
      </c>
      <c r="C59" s="15">
        <v>160.55</v>
      </c>
      <c r="D59" s="13" t="s">
        <v>19</v>
      </c>
      <c r="E59" s="15">
        <v>153.21</v>
      </c>
      <c r="F59" s="15">
        <v>5.0</v>
      </c>
      <c r="G59" s="15">
        <v>0.0</v>
      </c>
      <c r="H59" s="15">
        <v>5.0</v>
      </c>
      <c r="I59" s="16">
        <v>0.0</v>
      </c>
      <c r="J59" s="17">
        <f>IFERROR(__xludf.DUMMYFUNCTION("INDEX(GOOGLEFINANCE(A59, ""open"", $J$2, $J$2), 2, 2)"),157.15)</f>
        <v>157.15</v>
      </c>
      <c r="K59" s="17">
        <f>IFERROR(__xludf.DUMMYFUNCTION("INDEX(GOOGLEFINANCE(A59, ""close"", $K$2, $K$2), 2, 2)"),156.81)</f>
        <v>156.81</v>
      </c>
      <c r="L59" s="8">
        <f t="shared" si="1"/>
        <v>-0.2163538021</v>
      </c>
      <c r="M59" s="18">
        <f t="shared" si="2"/>
        <v>-2.163538021</v>
      </c>
      <c r="N59" s="18" t="str">
        <f t="shared" si="3"/>
        <v>Put Spread</v>
      </c>
      <c r="O59" s="18" t="str">
        <f t="shared" si="4"/>
        <v>Success</v>
      </c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>
      <c r="A60" s="13" t="s">
        <v>578</v>
      </c>
      <c r="B60" s="14" t="s">
        <v>18</v>
      </c>
      <c r="C60" s="15">
        <v>82.65</v>
      </c>
      <c r="D60" s="13" t="s">
        <v>19</v>
      </c>
      <c r="E60" s="15">
        <v>77.95</v>
      </c>
      <c r="F60" s="15">
        <v>5.0</v>
      </c>
      <c r="G60" s="15">
        <v>3.0</v>
      </c>
      <c r="H60" s="15">
        <v>5.0</v>
      </c>
      <c r="I60" s="16">
        <v>-0.8253635</v>
      </c>
      <c r="J60" s="17">
        <f>IFERROR(__xludf.DUMMYFUNCTION("INDEX(GOOGLEFINANCE(A60, ""open"", $J$2, $J$2), 2, 2)"),80.03)</f>
        <v>80.03</v>
      </c>
      <c r="K60" s="17">
        <f>IFERROR(__xludf.DUMMYFUNCTION("INDEX(GOOGLEFINANCE(A60, ""close"", $K$2, $K$2), 2, 2)"),79.88)</f>
        <v>79.88</v>
      </c>
      <c r="L60" s="8">
        <f t="shared" si="1"/>
        <v>-0.1874297139</v>
      </c>
      <c r="M60" s="18">
        <f t="shared" si="2"/>
        <v>-1.874297139</v>
      </c>
      <c r="N60" s="18" t="str">
        <f t="shared" si="3"/>
        <v>Put Spread</v>
      </c>
      <c r="O60" s="18" t="str">
        <f t="shared" si="4"/>
        <v>Success</v>
      </c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>
      <c r="A61" s="13" t="s">
        <v>579</v>
      </c>
      <c r="B61" s="14" t="s">
        <v>18</v>
      </c>
      <c r="C61" s="15">
        <v>120.47</v>
      </c>
      <c r="D61" s="13" t="s">
        <v>19</v>
      </c>
      <c r="E61" s="15">
        <v>111.93</v>
      </c>
      <c r="F61" s="15">
        <v>5.0</v>
      </c>
      <c r="G61" s="15">
        <v>1.0</v>
      </c>
      <c r="H61" s="15">
        <v>5.0</v>
      </c>
      <c r="I61" s="16">
        <v>0.0</v>
      </c>
      <c r="J61" s="17">
        <f>IFERROR(__xludf.DUMMYFUNCTION("INDEX(GOOGLEFINANCE(A61, ""open"", $J$2, $J$2), 2, 2)"),113.39)</f>
        <v>113.39</v>
      </c>
      <c r="K61" s="17">
        <f>IFERROR(__xludf.DUMMYFUNCTION("INDEX(GOOGLEFINANCE(A61, ""close"", $K$2, $K$2), 2, 2)"),113.18)</f>
        <v>113.18</v>
      </c>
      <c r="L61" s="20">
        <f t="shared" si="1"/>
        <v>-0.1852015169</v>
      </c>
      <c r="M61" s="18">
        <f t="shared" si="2"/>
        <v>-1.852015169</v>
      </c>
      <c r="N61" s="18" t="str">
        <f t="shared" si="3"/>
        <v>Put Spread</v>
      </c>
      <c r="O61" s="18" t="str">
        <f t="shared" si="4"/>
        <v>Success</v>
      </c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>
      <c r="A62" s="13" t="s">
        <v>593</v>
      </c>
      <c r="B62" s="14" t="s">
        <v>18</v>
      </c>
      <c r="C62" s="15">
        <v>254.16</v>
      </c>
      <c r="D62" s="13" t="s">
        <v>19</v>
      </c>
      <c r="E62" s="15">
        <v>238.86</v>
      </c>
      <c r="F62" s="15">
        <v>5.0</v>
      </c>
      <c r="G62" s="15">
        <v>2.0</v>
      </c>
      <c r="H62" s="15">
        <v>5.0</v>
      </c>
      <c r="I62" s="16">
        <v>-1.2472723</v>
      </c>
      <c r="J62" s="17">
        <f>IFERROR(__xludf.DUMMYFUNCTION("INDEX(GOOGLEFINANCE(A62, ""open"", $J$2, $J$2), 2, 2)"),247.73)</f>
        <v>247.73</v>
      </c>
      <c r="K62" s="17">
        <f>IFERROR(__xludf.DUMMYFUNCTION("INDEX(GOOGLEFINANCE(A62, ""close"", $K$2, $K$2), 2, 2)"),247.59)</f>
        <v>247.59</v>
      </c>
      <c r="L62" s="8">
        <f t="shared" si="1"/>
        <v>-0.0565131393</v>
      </c>
      <c r="M62" s="18">
        <f t="shared" si="2"/>
        <v>-0.565131393</v>
      </c>
      <c r="N62" s="18" t="str">
        <f t="shared" si="3"/>
        <v>Put Spread</v>
      </c>
      <c r="O62" s="18" t="str">
        <f t="shared" si="4"/>
        <v>Success</v>
      </c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>
      <c r="A63" s="13" t="s">
        <v>596</v>
      </c>
      <c r="B63" s="14" t="s">
        <v>18</v>
      </c>
      <c r="C63" s="15">
        <v>169.95</v>
      </c>
      <c r="D63" s="13" t="s">
        <v>19</v>
      </c>
      <c r="E63" s="15">
        <v>160.83</v>
      </c>
      <c r="F63" s="15">
        <v>5.0</v>
      </c>
      <c r="G63" s="15">
        <v>2.0</v>
      </c>
      <c r="H63" s="15">
        <v>5.0</v>
      </c>
      <c r="I63" s="16">
        <v>-1.3050126</v>
      </c>
      <c r="J63" s="17">
        <f>IFERROR(__xludf.DUMMYFUNCTION("INDEX(GOOGLEFINANCE(A63, ""open"", $J$2, $J$2), 2, 2)"),165.02)</f>
        <v>165.02</v>
      </c>
      <c r="K63" s="17">
        <f>IFERROR(__xludf.DUMMYFUNCTION("INDEX(GOOGLEFINANCE(A63, ""close"", $K$2, $K$2), 2, 2)"),165.13)</f>
        <v>165.13</v>
      </c>
      <c r="L63" s="8">
        <f t="shared" si="1"/>
        <v>0.06665858684</v>
      </c>
      <c r="M63" s="18">
        <f t="shared" si="2"/>
        <v>0.6665858684</v>
      </c>
      <c r="N63" s="18" t="str">
        <f t="shared" si="3"/>
        <v>Put Spread</v>
      </c>
      <c r="O63" s="18" t="str">
        <f t="shared" si="4"/>
        <v>Success</v>
      </c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>
      <c r="A64" s="13" t="s">
        <v>608</v>
      </c>
      <c r="B64" s="14" t="s">
        <v>18</v>
      </c>
      <c r="C64" s="15">
        <v>97.37</v>
      </c>
      <c r="D64" s="13" t="s">
        <v>19</v>
      </c>
      <c r="E64" s="15">
        <v>92.31</v>
      </c>
      <c r="F64" s="15">
        <v>5.0</v>
      </c>
      <c r="G64" s="15">
        <v>1.0</v>
      </c>
      <c r="H64" s="15">
        <v>5.0</v>
      </c>
      <c r="I64" s="16">
        <v>1.5138033004529</v>
      </c>
      <c r="J64" s="17">
        <f>IFERROR(__xludf.DUMMYFUNCTION("INDEX(GOOGLEFINANCE(A64, ""open"", $J$2, $J$2), 2, 2)"),94.98)</f>
        <v>94.98</v>
      </c>
      <c r="K64" s="17">
        <f>IFERROR(__xludf.DUMMYFUNCTION("INDEX(GOOGLEFINANCE(A64, ""close"", $K$2, $K$2), 2, 2)"),95.17)</f>
        <v>95.17</v>
      </c>
      <c r="L64" s="20">
        <f t="shared" si="1"/>
        <v>0.2000421141</v>
      </c>
      <c r="M64" s="18">
        <f t="shared" si="2"/>
        <v>2.000421141</v>
      </c>
      <c r="N64" s="18" t="str">
        <f t="shared" si="3"/>
        <v>Put Spread</v>
      </c>
      <c r="O64" s="18" t="str">
        <f t="shared" si="4"/>
        <v>Success</v>
      </c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>
      <c r="A65" s="13" t="s">
        <v>638</v>
      </c>
      <c r="B65" s="14" t="s">
        <v>18</v>
      </c>
      <c r="C65" s="15">
        <v>29.27</v>
      </c>
      <c r="D65" s="13" t="s">
        <v>19</v>
      </c>
      <c r="E65" s="15">
        <v>26.57</v>
      </c>
      <c r="F65" s="15">
        <v>5.0</v>
      </c>
      <c r="G65" s="15">
        <v>1.0</v>
      </c>
      <c r="H65" s="15">
        <v>5.0</v>
      </c>
      <c r="I65" s="16">
        <v>2.13185544459331</v>
      </c>
      <c r="J65" s="17">
        <f>IFERROR(__xludf.DUMMYFUNCTION("INDEX(GOOGLEFINANCE(A65, ""open"", $J$2, $J$2), 2, 2)"),27.75)</f>
        <v>27.75</v>
      </c>
      <c r="K65" s="17">
        <f>IFERROR(__xludf.DUMMYFUNCTION("INDEX(GOOGLEFINANCE(A65, ""close"", $K$2, $K$2), 2, 2)"),27.94)</f>
        <v>27.94</v>
      </c>
      <c r="L65" s="8">
        <f t="shared" si="1"/>
        <v>0.6846846847</v>
      </c>
      <c r="M65" s="18">
        <f t="shared" si="2"/>
        <v>6.846846847</v>
      </c>
      <c r="N65" s="18" t="str">
        <f t="shared" si="3"/>
        <v>Put Spread</v>
      </c>
      <c r="O65" s="18" t="str">
        <f t="shared" si="4"/>
        <v>Success</v>
      </c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>
      <c r="A66" s="13" t="s">
        <v>645</v>
      </c>
      <c r="B66" s="14" t="s">
        <v>18</v>
      </c>
      <c r="C66" s="15">
        <v>112.02</v>
      </c>
      <c r="D66" s="13" t="s">
        <v>19</v>
      </c>
      <c r="E66" s="15">
        <v>107.02</v>
      </c>
      <c r="F66" s="15">
        <v>5.0</v>
      </c>
      <c r="G66" s="15">
        <v>1.0</v>
      </c>
      <c r="H66" s="15">
        <v>5.0</v>
      </c>
      <c r="I66" s="16">
        <v>0.0</v>
      </c>
      <c r="J66" s="17">
        <f>IFERROR(__xludf.DUMMYFUNCTION("INDEX(GOOGLEFINANCE(A66, ""open"", $J$2, $J$2), 2, 2)"),109.29)</f>
        <v>109.29</v>
      </c>
      <c r="K66" s="17">
        <f>IFERROR(__xludf.DUMMYFUNCTION("INDEX(GOOGLEFINANCE(A66, ""close"", $K$2, $K$2), 2, 2)"),110.24)</f>
        <v>110.24</v>
      </c>
      <c r="L66" s="8">
        <f t="shared" si="1"/>
        <v>0.8692469576</v>
      </c>
      <c r="M66" s="18">
        <f t="shared" si="2"/>
        <v>8.692469576</v>
      </c>
      <c r="N66" s="18" t="str">
        <f t="shared" si="3"/>
        <v>Put Spread</v>
      </c>
      <c r="O66" s="18" t="str">
        <f t="shared" si="4"/>
        <v>Success</v>
      </c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>
      <c r="A67" s="13" t="s">
        <v>656</v>
      </c>
      <c r="B67" s="14" t="s">
        <v>18</v>
      </c>
      <c r="C67" s="15">
        <v>66.61</v>
      </c>
      <c r="D67" s="13" t="s">
        <v>19</v>
      </c>
      <c r="E67" s="15">
        <v>63.27</v>
      </c>
      <c r="F67" s="15">
        <v>5.0</v>
      </c>
      <c r="G67" s="15">
        <v>2.0</v>
      </c>
      <c r="H67" s="15">
        <v>5.0</v>
      </c>
      <c r="I67" s="16">
        <v>-0.2512737</v>
      </c>
      <c r="J67" s="17">
        <f>IFERROR(__xludf.DUMMYFUNCTION("INDEX(GOOGLEFINANCE(A67, ""open"", $J$2, $J$2), 2, 2)"),64.83)</f>
        <v>64.83</v>
      </c>
      <c r="K67" s="17">
        <f>IFERROR(__xludf.DUMMYFUNCTION("INDEX(GOOGLEFINANCE(A67, ""close"", $K$2, $K$2), 2, 2)"),65.47)</f>
        <v>65.47</v>
      </c>
      <c r="L67" s="8">
        <f t="shared" si="1"/>
        <v>0.9871972852</v>
      </c>
      <c r="M67" s="18">
        <f t="shared" si="2"/>
        <v>9.871972852</v>
      </c>
      <c r="N67" s="18" t="str">
        <f t="shared" si="3"/>
        <v>Put Spread</v>
      </c>
      <c r="O67" s="18" t="str">
        <f t="shared" si="4"/>
        <v>Success</v>
      </c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>
      <c r="A68" s="13" t="s">
        <v>670</v>
      </c>
      <c r="B68" s="14" t="s">
        <v>18</v>
      </c>
      <c r="C68" s="15">
        <v>3931.27</v>
      </c>
      <c r="D68" s="13" t="s">
        <v>19</v>
      </c>
      <c r="E68" s="15">
        <v>3710.55</v>
      </c>
      <c r="F68" s="15">
        <v>5.0</v>
      </c>
      <c r="G68" s="15">
        <v>0.0</v>
      </c>
      <c r="H68" s="15">
        <v>5.0</v>
      </c>
      <c r="I68" s="16">
        <v>0.0</v>
      </c>
      <c r="J68" s="17">
        <f>IFERROR(__xludf.DUMMYFUNCTION("INDEX(GOOGLEFINANCE(A68, ""open"", $J$2, $J$2), 2, 2)"),3802.9)</f>
        <v>3802.9</v>
      </c>
      <c r="K68" s="17">
        <f>IFERROR(__xludf.DUMMYFUNCTION("INDEX(GOOGLEFINANCE(A68, ""close"", $K$2, $K$2), 2, 2)"),3858.86)</f>
        <v>3858.86</v>
      </c>
      <c r="L68" s="8">
        <f t="shared" si="1"/>
        <v>1.471508586</v>
      </c>
      <c r="M68" s="18">
        <f t="shared" si="2"/>
        <v>14.71508586</v>
      </c>
      <c r="N68" s="18" t="str">
        <f t="shared" si="3"/>
        <v>Put Spread</v>
      </c>
      <c r="O68" s="18" t="str">
        <f t="shared" si="4"/>
        <v>Success</v>
      </c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>
      <c r="A69" s="13" t="s">
        <v>683</v>
      </c>
      <c r="B69" s="14" t="s">
        <v>18</v>
      </c>
      <c r="C69" s="15">
        <v>148.18</v>
      </c>
      <c r="D69" s="13" t="s">
        <v>19</v>
      </c>
      <c r="E69" s="15">
        <v>126.76</v>
      </c>
      <c r="F69" s="15">
        <v>5.0</v>
      </c>
      <c r="G69" s="15">
        <v>3.0</v>
      </c>
      <c r="H69" s="15">
        <v>5.0</v>
      </c>
      <c r="I69" s="16">
        <v>-0.3212614</v>
      </c>
      <c r="J69" s="17">
        <f>IFERROR(__xludf.DUMMYFUNCTION("INDEX(GOOGLEFINANCE(A69, ""open"", $J$2, $J$2), 2, 2)"),139.13)</f>
        <v>139.13</v>
      </c>
      <c r="K69" s="17">
        <f>IFERROR(__xludf.DUMMYFUNCTION("INDEX(GOOGLEFINANCE(A69, ""close"", $K$2, $K$2), 2, 2)"),145.6)</f>
        <v>145.6</v>
      </c>
      <c r="L69" s="8">
        <f t="shared" si="1"/>
        <v>4.650327032</v>
      </c>
      <c r="M69" s="18">
        <f t="shared" si="2"/>
        <v>46.50327032</v>
      </c>
      <c r="N69" s="18" t="str">
        <f t="shared" si="3"/>
        <v>Put Spread</v>
      </c>
      <c r="O69" s="18" t="str">
        <f t="shared" si="4"/>
        <v>Success</v>
      </c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>
      <c r="A70" s="13" t="s">
        <v>689</v>
      </c>
      <c r="B70" s="14" t="s">
        <v>18</v>
      </c>
      <c r="C70" s="15">
        <v>139.93</v>
      </c>
      <c r="D70" s="13" t="s">
        <v>19</v>
      </c>
      <c r="E70" s="15">
        <v>130.33</v>
      </c>
      <c r="F70" s="15">
        <v>5.0</v>
      </c>
      <c r="G70" s="15">
        <v>1.0</v>
      </c>
      <c r="H70" s="15">
        <v>5.0</v>
      </c>
      <c r="I70" s="16">
        <v>0.0</v>
      </c>
      <c r="J70" s="17">
        <f>IFERROR(__xludf.DUMMYFUNCTION("INDEX(GOOGLEFINANCE(A70, ""open"", $J$2, $J$2), 2, 2)"),134.76)</f>
        <v>134.76</v>
      </c>
      <c r="K70" s="17">
        <f>IFERROR(__xludf.DUMMYFUNCTION("INDEX(GOOGLEFINANCE(A70, ""close"", $K$2, $K$2), 2, 2)"),137.24)</f>
        <v>137.24</v>
      </c>
      <c r="L70" s="8">
        <f t="shared" si="1"/>
        <v>1.840308697</v>
      </c>
      <c r="M70" s="18">
        <f t="shared" si="2"/>
        <v>18.40308697</v>
      </c>
      <c r="N70" s="18" t="str">
        <f t="shared" si="3"/>
        <v>Put Spread</v>
      </c>
      <c r="O70" s="18" t="str">
        <f t="shared" si="4"/>
        <v>Success</v>
      </c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>
      <c r="A71" s="13" t="s">
        <v>693</v>
      </c>
      <c r="B71" s="14" t="s">
        <v>18</v>
      </c>
      <c r="C71" s="15">
        <v>4.31</v>
      </c>
      <c r="D71" s="13" t="s">
        <v>19</v>
      </c>
      <c r="E71" s="15">
        <v>3.05</v>
      </c>
      <c r="F71" s="15">
        <v>5.0</v>
      </c>
      <c r="G71" s="15">
        <v>3.0</v>
      </c>
      <c r="H71" s="15">
        <v>5.0</v>
      </c>
      <c r="I71" s="16">
        <v>0.269146510218048</v>
      </c>
      <c r="J71" s="17">
        <f>IFERROR(__xludf.DUMMYFUNCTION("INDEX(GOOGLEFINANCE(A71, ""open"", $J$2, $J$2), 2, 2)"),3.68)</f>
        <v>3.68</v>
      </c>
      <c r="K71" s="17">
        <f>IFERROR(__xludf.DUMMYFUNCTION("INDEX(GOOGLEFINANCE(A71, ""close"", $K$2, $K$2), 2, 2)"),3.75)</f>
        <v>3.75</v>
      </c>
      <c r="L71" s="8">
        <f t="shared" si="1"/>
        <v>1.902173913</v>
      </c>
      <c r="M71" s="18">
        <f t="shared" si="2"/>
        <v>19.02173913</v>
      </c>
      <c r="N71" s="18" t="str">
        <f t="shared" si="3"/>
        <v>Put Spread</v>
      </c>
      <c r="O71" s="18" t="str">
        <f t="shared" si="4"/>
        <v>Success</v>
      </c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>
      <c r="A72" s="13" t="s">
        <v>706</v>
      </c>
      <c r="B72" s="14" t="s">
        <v>18</v>
      </c>
      <c r="C72" s="15">
        <v>102.78</v>
      </c>
      <c r="D72" s="13" t="s">
        <v>19</v>
      </c>
      <c r="E72" s="15">
        <v>97.42</v>
      </c>
      <c r="F72" s="15">
        <v>5.0</v>
      </c>
      <c r="G72" s="15">
        <v>2.0</v>
      </c>
      <c r="H72" s="15">
        <v>5.0</v>
      </c>
      <c r="I72" s="16">
        <v>0.0</v>
      </c>
      <c r="J72" s="17">
        <f>IFERROR(__xludf.DUMMYFUNCTION("INDEX(GOOGLEFINANCE(A72, ""open"", $J$2, $J$2), 2, 2)"),99.92)</f>
        <v>99.92</v>
      </c>
      <c r="K72" s="17">
        <f>IFERROR(__xludf.DUMMYFUNCTION("INDEX(GOOGLEFINANCE(A72, ""close"", $K$2, $K$2), 2, 2)"),102.11)</f>
        <v>102.11</v>
      </c>
      <c r="L72" s="8">
        <f t="shared" si="1"/>
        <v>2.191753403</v>
      </c>
      <c r="M72" s="18">
        <f t="shared" si="2"/>
        <v>21.91753403</v>
      </c>
      <c r="N72" s="18" t="str">
        <f t="shared" si="3"/>
        <v>Put Spread</v>
      </c>
      <c r="O72" s="18" t="str">
        <f t="shared" si="4"/>
        <v>Success</v>
      </c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>
      <c r="A73" s="13" t="s">
        <v>709</v>
      </c>
      <c r="B73" s="14" t="s">
        <v>18</v>
      </c>
      <c r="C73" s="15">
        <v>630.01</v>
      </c>
      <c r="D73" s="13" t="s">
        <v>19</v>
      </c>
      <c r="E73" s="15">
        <v>573.09</v>
      </c>
      <c r="F73" s="15">
        <v>5.0</v>
      </c>
      <c r="G73" s="15">
        <v>1.0</v>
      </c>
      <c r="H73" s="15">
        <v>5.0</v>
      </c>
      <c r="I73" s="16">
        <v>-1.3227439</v>
      </c>
      <c r="J73" s="17">
        <f>IFERROR(__xludf.DUMMYFUNCTION("INDEX(GOOGLEFINANCE(A73, ""open"", $J$2, $J$2), 2, 2)"),605.28)</f>
        <v>605.28</v>
      </c>
      <c r="K73" s="17">
        <f>IFERROR(__xludf.DUMMYFUNCTION("INDEX(GOOGLEFINANCE(A73, ""close"", $K$2, $K$2), 2, 2)"),618.65)</f>
        <v>618.65</v>
      </c>
      <c r="L73" s="8">
        <f t="shared" si="1"/>
        <v>2.208895057</v>
      </c>
      <c r="M73" s="18">
        <f t="shared" si="2"/>
        <v>22.08895057</v>
      </c>
      <c r="N73" s="18" t="str">
        <f t="shared" si="3"/>
        <v>Put Spread</v>
      </c>
      <c r="O73" s="18" t="str">
        <f t="shared" si="4"/>
        <v>Success</v>
      </c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>
      <c r="A74" s="13" t="s">
        <v>727</v>
      </c>
      <c r="B74" s="14" t="s">
        <v>18</v>
      </c>
      <c r="C74" s="15">
        <v>39.37</v>
      </c>
      <c r="D74" s="13" t="s">
        <v>19</v>
      </c>
      <c r="E74" s="15">
        <v>37.35</v>
      </c>
      <c r="F74" s="15">
        <v>5.0</v>
      </c>
      <c r="G74" s="15">
        <v>2.0</v>
      </c>
      <c r="H74" s="15">
        <v>5.0</v>
      </c>
      <c r="I74" s="16">
        <v>0.0</v>
      </c>
      <c r="J74" s="17">
        <f>IFERROR(__xludf.DUMMYFUNCTION("INDEX(GOOGLEFINANCE(A74, ""open"", $J$2, $J$2), 2, 2)"),37.75)</f>
        <v>37.75</v>
      </c>
      <c r="K74" s="17">
        <f>IFERROR(__xludf.DUMMYFUNCTION("INDEX(GOOGLEFINANCE(A74, ""close"", $K$2, $K$2), 2, 2)"),38.82)</f>
        <v>38.82</v>
      </c>
      <c r="L74" s="8">
        <f t="shared" si="1"/>
        <v>2.834437086</v>
      </c>
      <c r="M74" s="18">
        <f t="shared" si="2"/>
        <v>28.34437086</v>
      </c>
      <c r="N74" s="18" t="str">
        <f t="shared" si="3"/>
        <v>Put Spread</v>
      </c>
      <c r="O74" s="18" t="str">
        <f t="shared" si="4"/>
        <v>Success</v>
      </c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>
      <c r="A75" s="13" t="s">
        <v>736</v>
      </c>
      <c r="B75" s="14" t="s">
        <v>18</v>
      </c>
      <c r="C75" s="15">
        <v>60.35</v>
      </c>
      <c r="D75" s="13" t="s">
        <v>19</v>
      </c>
      <c r="E75" s="15">
        <v>57.15</v>
      </c>
      <c r="F75" s="15">
        <v>5.0</v>
      </c>
      <c r="G75" s="15">
        <v>2.0</v>
      </c>
      <c r="H75" s="15">
        <v>5.0</v>
      </c>
      <c r="I75" s="16">
        <v>0.0</v>
      </c>
      <c r="J75" s="17">
        <f>IFERROR(__xludf.DUMMYFUNCTION("INDEX(GOOGLEFINANCE(A75, ""open"", $J$2, $J$2), 2, 2)"),58.6)</f>
        <v>58.6</v>
      </c>
      <c r="K75" s="17">
        <f>IFERROR(__xludf.DUMMYFUNCTION("INDEX(GOOGLEFINANCE(A75, ""close"", $K$2, $K$2), 2, 2)"),60.41)</f>
        <v>60.41</v>
      </c>
      <c r="L75" s="8">
        <f t="shared" si="1"/>
        <v>3.088737201</v>
      </c>
      <c r="M75" s="18">
        <f t="shared" si="2"/>
        <v>30.88737201</v>
      </c>
      <c r="N75" s="18" t="str">
        <f t="shared" si="3"/>
        <v>Put Spread</v>
      </c>
      <c r="O75" s="18" t="str">
        <f t="shared" si="4"/>
        <v>Success</v>
      </c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>
      <c r="A76" s="13" t="s">
        <v>745</v>
      </c>
      <c r="B76" s="14" t="s">
        <v>18</v>
      </c>
      <c r="C76" s="15">
        <v>26.34</v>
      </c>
      <c r="D76" s="13" t="s">
        <v>19</v>
      </c>
      <c r="E76" s="15">
        <v>23.02</v>
      </c>
      <c r="F76" s="15">
        <v>5.0</v>
      </c>
      <c r="G76" s="15">
        <v>2.0</v>
      </c>
      <c r="H76" s="15">
        <v>5.0</v>
      </c>
      <c r="I76" s="16">
        <v>0.0</v>
      </c>
      <c r="J76" s="17">
        <f>IFERROR(__xludf.DUMMYFUNCTION("INDEX(GOOGLEFINANCE(A76, ""open"", $J$2, $J$2), 2, 2)"),24.77)</f>
        <v>24.77</v>
      </c>
      <c r="K76" s="17">
        <f>IFERROR(__xludf.DUMMYFUNCTION("INDEX(GOOGLEFINANCE(A76, ""close"", $K$2, $K$2), 2, 2)"),25.59)</f>
        <v>25.59</v>
      </c>
      <c r="L76" s="8">
        <f t="shared" si="1"/>
        <v>3.310456197</v>
      </c>
      <c r="M76" s="18">
        <f t="shared" si="2"/>
        <v>33.10456197</v>
      </c>
      <c r="N76" s="18" t="str">
        <f t="shared" si="3"/>
        <v>Put Spread</v>
      </c>
      <c r="O76" s="18" t="str">
        <f t="shared" si="4"/>
        <v>Success</v>
      </c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>
      <c r="A77" s="13" t="s">
        <v>757</v>
      </c>
      <c r="B77" s="14" t="s">
        <v>18</v>
      </c>
      <c r="C77" s="15">
        <v>112.31</v>
      </c>
      <c r="D77" s="13" t="s">
        <v>19</v>
      </c>
      <c r="E77" s="15">
        <v>107.27</v>
      </c>
      <c r="F77" s="15">
        <v>5.0</v>
      </c>
      <c r="G77" s="15">
        <v>1.0</v>
      </c>
      <c r="H77" s="15">
        <v>5.0</v>
      </c>
      <c r="I77" s="16">
        <v>0.0</v>
      </c>
      <c r="J77" s="17">
        <f>IFERROR(__xludf.DUMMYFUNCTION("INDEX(GOOGLEFINANCE(A77, ""open"", $J$2, $J$2), 2, 2)"),109.5)</f>
        <v>109.5</v>
      </c>
      <c r="K77" s="17">
        <f>IFERROR(__xludf.DUMMYFUNCTION("INDEX(GOOGLEFINANCE(A77, ""close"", $K$2, $K$2), 2, 2)"),113.58)</f>
        <v>113.58</v>
      </c>
      <c r="L77" s="8">
        <f t="shared" si="1"/>
        <v>3.726027397</v>
      </c>
      <c r="M77" s="18">
        <f t="shared" si="2"/>
        <v>37.26027397</v>
      </c>
      <c r="N77" s="18" t="str">
        <f t="shared" si="3"/>
        <v>Put Spread</v>
      </c>
      <c r="O77" s="18" t="str">
        <f t="shared" si="4"/>
        <v>Success</v>
      </c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>
      <c r="A78" s="13" t="s">
        <v>761</v>
      </c>
      <c r="B78" s="14" t="s">
        <v>18</v>
      </c>
      <c r="C78" s="15">
        <v>135.54</v>
      </c>
      <c r="D78" s="13" t="s">
        <v>19</v>
      </c>
      <c r="E78" s="15">
        <v>108.92</v>
      </c>
      <c r="F78" s="15">
        <v>5.0</v>
      </c>
      <c r="G78" s="15">
        <v>3.0</v>
      </c>
      <c r="H78" s="15">
        <v>5.0</v>
      </c>
      <c r="I78" s="16">
        <v>2.23300278</v>
      </c>
      <c r="J78" s="17">
        <f>IFERROR(__xludf.DUMMYFUNCTION("INDEX(GOOGLEFINANCE(A78, ""open"", $J$2, $J$2), 2, 2)"),126.17)</f>
        <v>126.17</v>
      </c>
      <c r="K78" s="17">
        <f>IFERROR(__xludf.DUMMYFUNCTION("INDEX(GOOGLEFINANCE(A78, ""close"", $K$2, $K$2), 2, 2)"),131.1)</f>
        <v>131.1</v>
      </c>
      <c r="L78" s="20">
        <f t="shared" si="1"/>
        <v>3.907426488</v>
      </c>
      <c r="M78" s="18">
        <f t="shared" si="2"/>
        <v>39.07426488</v>
      </c>
      <c r="N78" s="18" t="str">
        <f t="shared" si="3"/>
        <v>Put Spread</v>
      </c>
      <c r="O78" s="18" t="str">
        <f t="shared" si="4"/>
        <v>Success</v>
      </c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>
      <c r="A79" s="13" t="s">
        <v>809</v>
      </c>
      <c r="B79" s="14" t="s">
        <v>18</v>
      </c>
      <c r="C79" s="15">
        <v>347.38</v>
      </c>
      <c r="D79" s="13" t="s">
        <v>19</v>
      </c>
      <c r="E79" s="15">
        <v>317.0</v>
      </c>
      <c r="F79" s="15">
        <v>5.0</v>
      </c>
      <c r="G79" s="15">
        <v>2.0</v>
      </c>
      <c r="H79" s="15">
        <v>5.0</v>
      </c>
      <c r="I79" s="16">
        <v>0.0</v>
      </c>
      <c r="J79" s="17">
        <f>IFERROR(__xludf.DUMMYFUNCTION("INDEX(GOOGLEFINANCE(A79, ""open"", $J$2, $J$2), 2, 2)"),334.48)</f>
        <v>334.48</v>
      </c>
      <c r="K79" s="17">
        <f>IFERROR(__xludf.DUMMYFUNCTION("INDEX(GOOGLEFINANCE(A79, ""close"", $K$2, $K$2), 2, 2)"),356.97)</f>
        <v>356.97</v>
      </c>
      <c r="L79" s="8">
        <f t="shared" si="1"/>
        <v>6.723869888</v>
      </c>
      <c r="M79" s="18">
        <f t="shared" si="2"/>
        <v>67.23869888</v>
      </c>
      <c r="N79" s="18" t="str">
        <f t="shared" si="3"/>
        <v>Put Spread</v>
      </c>
      <c r="O79" s="18" t="str">
        <f t="shared" si="4"/>
        <v>Success</v>
      </c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>
      <c r="A80" s="13" t="s">
        <v>846</v>
      </c>
      <c r="B80" s="14" t="s">
        <v>18</v>
      </c>
      <c r="C80" s="15">
        <v>16.21</v>
      </c>
      <c r="D80" s="13" t="s">
        <v>19</v>
      </c>
      <c r="E80" s="15">
        <v>13.79</v>
      </c>
      <c r="F80" s="15">
        <v>5.0</v>
      </c>
      <c r="G80" s="15">
        <v>3.0</v>
      </c>
      <c r="H80" s="15">
        <v>5.0</v>
      </c>
      <c r="I80" s="16">
        <v>0.389103383093907</v>
      </c>
      <c r="J80" s="17">
        <f>IFERROR(__xludf.DUMMYFUNCTION("INDEX(GOOGLEFINANCE(A80, ""open"", $J$2, $J$2), 2, 2)"),14.89)</f>
        <v>14.89</v>
      </c>
      <c r="K80" s="17">
        <f>IFERROR(__xludf.DUMMYFUNCTION("INDEX(GOOGLEFINANCE(A80, ""close"", $K$2, $K$2), 2, 2)"),16.54)</f>
        <v>16.54</v>
      </c>
      <c r="L80" s="8">
        <f t="shared" si="1"/>
        <v>11.08126259</v>
      </c>
      <c r="M80" s="18">
        <f t="shared" si="2"/>
        <v>110.8126259</v>
      </c>
      <c r="N80" s="18" t="str">
        <f t="shared" si="3"/>
        <v>Put Spread</v>
      </c>
      <c r="O80" s="18" t="str">
        <f t="shared" si="4"/>
        <v>Success</v>
      </c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>
      <c r="A81" s="13" t="s">
        <v>858</v>
      </c>
      <c r="B81" s="14" t="s">
        <v>18</v>
      </c>
      <c r="C81" s="15">
        <v>12.2</v>
      </c>
      <c r="D81" s="13" t="s">
        <v>19</v>
      </c>
      <c r="E81" s="15">
        <v>9.3</v>
      </c>
      <c r="F81" s="15">
        <v>5.0</v>
      </c>
      <c r="G81" s="15">
        <v>2.0</v>
      </c>
      <c r="H81" s="15">
        <v>5.0</v>
      </c>
      <c r="I81" s="16">
        <v>-0.62688</v>
      </c>
      <c r="J81" s="17">
        <f>IFERROR(__xludf.DUMMYFUNCTION("INDEX(GOOGLEFINANCE(A81, ""open"", $J$2, $J$2), 2, 2)"),10.98)</f>
        <v>10.98</v>
      </c>
      <c r="K81" s="17">
        <f>IFERROR(__xludf.DUMMYFUNCTION("INDEX(GOOGLEFINANCE(A81, ""close"", $K$2, $K$2), 2, 2)"),12.52)</f>
        <v>12.52</v>
      </c>
      <c r="L81" s="8">
        <f t="shared" si="1"/>
        <v>14.02550091</v>
      </c>
      <c r="M81" s="18">
        <f t="shared" si="2"/>
        <v>140.2550091</v>
      </c>
      <c r="N81" s="18" t="str">
        <f t="shared" si="3"/>
        <v>Put Spread</v>
      </c>
      <c r="O81" s="18" t="str">
        <f t="shared" si="4"/>
        <v>Success</v>
      </c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>
      <c r="A82" s="13" t="s">
        <v>876</v>
      </c>
      <c r="B82" s="14" t="s">
        <v>18</v>
      </c>
      <c r="C82" s="15">
        <v>236.17</v>
      </c>
      <c r="D82" s="13" t="s">
        <v>19</v>
      </c>
      <c r="E82" s="15">
        <v>223.17</v>
      </c>
      <c r="F82" s="15">
        <v>5.0</v>
      </c>
      <c r="G82" s="15">
        <v>3.0</v>
      </c>
      <c r="H82" s="15">
        <v>5.0</v>
      </c>
      <c r="I82" s="16">
        <v>-3.155868</v>
      </c>
      <c r="J82" s="17">
        <f>IFERROR(__xludf.DUMMYFUNCTION("INDEX(GOOGLEFINANCE(A82, ""open"", $J$2, $J$2), 2, 2)"),229.0)</f>
        <v>229</v>
      </c>
      <c r="K82" s="17">
        <f>IFERROR(__xludf.DUMMYFUNCTION("INDEX(GOOGLEFINANCE(A82, ""close"", $K$2, $K$2), 2, 2)"),228.88)</f>
        <v>228.88</v>
      </c>
      <c r="L82" s="8">
        <f t="shared" si="1"/>
        <v>-0.05240174672</v>
      </c>
      <c r="M82" s="18">
        <f t="shared" si="2"/>
        <v>-0.5240174672</v>
      </c>
      <c r="N82" s="18" t="str">
        <f t="shared" si="3"/>
        <v>Put Spread</v>
      </c>
      <c r="O82" s="18" t="str">
        <f t="shared" si="4"/>
        <v>Success</v>
      </c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>
      <c r="A83" s="13" t="s">
        <v>893</v>
      </c>
      <c r="B83" s="14" t="s">
        <v>18</v>
      </c>
      <c r="C83" s="15">
        <v>95.94</v>
      </c>
      <c r="D83" s="13" t="s">
        <v>19</v>
      </c>
      <c r="E83" s="15">
        <v>88.8</v>
      </c>
      <c r="F83" s="15">
        <v>5.0</v>
      </c>
      <c r="G83" s="15">
        <v>4.0</v>
      </c>
      <c r="H83" s="15">
        <v>5.0</v>
      </c>
      <c r="I83" s="16">
        <v>0.0</v>
      </c>
      <c r="J83" s="17">
        <f>IFERROR(__xludf.DUMMYFUNCTION("INDEX(GOOGLEFINANCE(A83, ""open"", $J$2, $J$2), 2, 2)"),91.84)</f>
        <v>91.84</v>
      </c>
      <c r="K83" s="17">
        <f>IFERROR(__xludf.DUMMYFUNCTION("INDEX(GOOGLEFINANCE(A83, ""close"", $K$2, $K$2), 2, 2)"),86.72)</f>
        <v>86.72</v>
      </c>
      <c r="L83" s="8">
        <f t="shared" si="1"/>
        <v>-5.574912892</v>
      </c>
      <c r="M83" s="18">
        <f t="shared" si="2"/>
        <v>-55.74912892</v>
      </c>
      <c r="N83" s="18" t="str">
        <f t="shared" si="3"/>
        <v>Put Spread</v>
      </c>
      <c r="O83" s="18" t="str">
        <f t="shared" si="4"/>
        <v>No</v>
      </c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>
      <c r="A84" s="13" t="s">
        <v>896</v>
      </c>
      <c r="B84" s="14" t="s">
        <v>18</v>
      </c>
      <c r="C84" s="15">
        <v>55.24</v>
      </c>
      <c r="D84" s="13" t="s">
        <v>19</v>
      </c>
      <c r="E84" s="15">
        <v>51.64</v>
      </c>
      <c r="F84" s="15">
        <v>5.0</v>
      </c>
      <c r="G84" s="15">
        <v>2.0</v>
      </c>
      <c r="H84" s="15">
        <v>5.0</v>
      </c>
      <c r="I84" s="16">
        <v>0.0</v>
      </c>
      <c r="J84" s="17">
        <f>IFERROR(__xludf.DUMMYFUNCTION("INDEX(GOOGLEFINANCE(A84, ""open"", $J$2, $J$2), 2, 2)"),53.38)</f>
        <v>53.38</v>
      </c>
      <c r="K84" s="17">
        <f>IFERROR(__xludf.DUMMYFUNCTION("INDEX(GOOGLEFINANCE(A84, ""close"", $K$2, $K$2), 2, 2)"),51.4)</f>
        <v>51.4</v>
      </c>
      <c r="L84" s="8">
        <f t="shared" si="1"/>
        <v>-3.709254402</v>
      </c>
      <c r="M84" s="18">
        <f t="shared" si="2"/>
        <v>-37.09254402</v>
      </c>
      <c r="N84" s="18" t="str">
        <f t="shared" si="3"/>
        <v>Put Spread</v>
      </c>
      <c r="O84" s="18" t="str">
        <f t="shared" si="4"/>
        <v>No</v>
      </c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</row>
    <row r="85">
      <c r="A85" s="13" t="s">
        <v>161</v>
      </c>
      <c r="B85" s="26" t="s">
        <v>47</v>
      </c>
      <c r="C85" s="15">
        <v>8.91</v>
      </c>
      <c r="D85" s="13" t="s">
        <v>48</v>
      </c>
      <c r="E85" s="15">
        <v>11.09</v>
      </c>
      <c r="F85" s="15">
        <v>0.0</v>
      </c>
      <c r="G85" s="15">
        <v>3.0</v>
      </c>
      <c r="H85" s="15">
        <v>1.0</v>
      </c>
      <c r="I85" s="16">
        <v>0.0</v>
      </c>
      <c r="J85" s="17">
        <f>IFERROR(__xludf.DUMMYFUNCTION("INDEX(GOOGLEFINANCE(A85, ""open"", $J$2, $J$2), 2, 2)"),10.04)</f>
        <v>10.04</v>
      </c>
      <c r="K85" s="17">
        <f>IFERROR(__xludf.DUMMYFUNCTION("INDEX(GOOGLEFINANCE(A85, ""close"", $K$2, $K$2), 2, 2)"),10.64)</f>
        <v>10.64</v>
      </c>
      <c r="L85" s="8">
        <f t="shared" si="1"/>
        <v>-5.976095618</v>
      </c>
      <c r="M85" s="18">
        <f t="shared" si="2"/>
        <v>-59.76095618</v>
      </c>
      <c r="N85" s="18" t="str">
        <f t="shared" si="3"/>
        <v>Call Spread</v>
      </c>
      <c r="O85" s="18" t="str">
        <f t="shared" si="4"/>
        <v>Success</v>
      </c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>
      <c r="A86" s="13" t="s">
        <v>263</v>
      </c>
      <c r="B86" s="26" t="s">
        <v>47</v>
      </c>
      <c r="C86" s="15">
        <v>147.23</v>
      </c>
      <c r="D86" s="13" t="s">
        <v>48</v>
      </c>
      <c r="E86" s="15">
        <v>163.97</v>
      </c>
      <c r="F86" s="15">
        <v>0.0</v>
      </c>
      <c r="G86" s="15">
        <v>4.0</v>
      </c>
      <c r="H86" s="15">
        <v>0.0</v>
      </c>
      <c r="I86" s="16">
        <v>1.67942773829472</v>
      </c>
      <c r="J86" s="17">
        <f>IFERROR(__xludf.DUMMYFUNCTION("INDEX(GOOGLEFINANCE(A86, ""open"", $J$2, $J$2), 2, 2)"),156.29)</f>
        <v>156.29</v>
      </c>
      <c r="K86" s="17">
        <f>IFERROR(__xludf.DUMMYFUNCTION("INDEX(GOOGLEFINANCE(A86, ""close"", $K$2, $K$2), 2, 2)"),162.98)</f>
        <v>162.98</v>
      </c>
      <c r="L86" s="20">
        <f t="shared" si="1"/>
        <v>-4.280504191</v>
      </c>
      <c r="M86" s="18">
        <f t="shared" si="2"/>
        <v>-42.80504191</v>
      </c>
      <c r="N86" s="18" t="str">
        <f t="shared" si="3"/>
        <v>Call Spread</v>
      </c>
      <c r="O86" s="18" t="str">
        <f t="shared" si="4"/>
        <v>Success</v>
      </c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>
      <c r="A87" s="13" t="s">
        <v>270</v>
      </c>
      <c r="B87" s="26" t="s">
        <v>47</v>
      </c>
      <c r="C87" s="15">
        <v>55.07</v>
      </c>
      <c r="D87" s="13" t="s">
        <v>48</v>
      </c>
      <c r="E87" s="15">
        <v>60.37</v>
      </c>
      <c r="F87" s="15">
        <v>0.0</v>
      </c>
      <c r="G87" s="15">
        <v>2.0</v>
      </c>
      <c r="H87" s="15">
        <v>1.0</v>
      </c>
      <c r="I87" s="16">
        <v>0.0</v>
      </c>
      <c r="J87" s="17">
        <f>IFERROR(__xludf.DUMMYFUNCTION("INDEX(GOOGLEFINANCE(A87, ""open"", $J$2, $J$2), 2, 2)"),57.32)</f>
        <v>57.32</v>
      </c>
      <c r="K87" s="17">
        <f>IFERROR(__xludf.DUMMYFUNCTION("INDEX(GOOGLEFINANCE(A87, ""close"", $K$2, $K$2), 2, 2)"),59.67)</f>
        <v>59.67</v>
      </c>
      <c r="L87" s="20">
        <f t="shared" si="1"/>
        <v>-4.099790649</v>
      </c>
      <c r="M87" s="18">
        <f t="shared" si="2"/>
        <v>-40.99790649</v>
      </c>
      <c r="N87" s="18" t="str">
        <f t="shared" si="3"/>
        <v>Call Spread</v>
      </c>
      <c r="O87" s="18" t="str">
        <f t="shared" si="4"/>
        <v>Success</v>
      </c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>
      <c r="A88" s="13" t="s">
        <v>446</v>
      </c>
      <c r="B88" s="26" t="s">
        <v>47</v>
      </c>
      <c r="C88" s="15">
        <v>30.67</v>
      </c>
      <c r="D88" s="13" t="s">
        <v>48</v>
      </c>
      <c r="E88" s="15">
        <v>34.39</v>
      </c>
      <c r="F88" s="15">
        <v>1.0</v>
      </c>
      <c r="G88" s="15">
        <v>2.0</v>
      </c>
      <c r="H88" s="15">
        <v>1.0</v>
      </c>
      <c r="I88" s="16">
        <v>0.0</v>
      </c>
      <c r="J88" s="17">
        <f>IFERROR(__xludf.DUMMYFUNCTION("INDEX(GOOGLEFINANCE(A88, ""open"", $J$2, $J$2), 2, 2)"),32.96)</f>
        <v>32.96</v>
      </c>
      <c r="K88" s="17">
        <f>IFERROR(__xludf.DUMMYFUNCTION("INDEX(GOOGLEFINANCE(A88, ""close"", $K$2, $K$2), 2, 2)"),33.67)</f>
        <v>33.67</v>
      </c>
      <c r="L88" s="8">
        <f t="shared" si="1"/>
        <v>-2.154126214</v>
      </c>
      <c r="M88" s="18">
        <f t="shared" si="2"/>
        <v>-21.54126214</v>
      </c>
      <c r="N88" s="18" t="str">
        <f t="shared" si="3"/>
        <v>Call Spread</v>
      </c>
      <c r="O88" s="18" t="str">
        <f t="shared" si="4"/>
        <v>Success</v>
      </c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>
      <c r="A89" s="13" t="s">
        <v>451</v>
      </c>
      <c r="B89" s="26" t="s">
        <v>47</v>
      </c>
      <c r="C89" s="15">
        <v>155.83</v>
      </c>
      <c r="D89" s="13" t="s">
        <v>48</v>
      </c>
      <c r="E89" s="15">
        <v>166.01</v>
      </c>
      <c r="F89" s="15">
        <v>0.0</v>
      </c>
      <c r="G89" s="15">
        <v>1.0</v>
      </c>
      <c r="H89" s="15">
        <v>1.0</v>
      </c>
      <c r="I89" s="16">
        <v>0.0</v>
      </c>
      <c r="J89" s="17">
        <f>IFERROR(__xludf.DUMMYFUNCTION("INDEX(GOOGLEFINANCE(A89, ""open"", $J$2, $J$2), 2, 2)"),159.6)</f>
        <v>159.6</v>
      </c>
      <c r="K89" s="17">
        <f>IFERROR(__xludf.DUMMYFUNCTION("INDEX(GOOGLEFINANCE(A89, ""close"", $K$2, $K$2), 2, 2)"),162.96)</f>
        <v>162.96</v>
      </c>
      <c r="L89" s="8">
        <f t="shared" si="1"/>
        <v>-2.105263158</v>
      </c>
      <c r="M89" s="18">
        <f t="shared" si="2"/>
        <v>-21.05263158</v>
      </c>
      <c r="N89" s="18" t="str">
        <f t="shared" si="3"/>
        <v>Call Spread</v>
      </c>
      <c r="O89" s="18" t="str">
        <f t="shared" si="4"/>
        <v>Success</v>
      </c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>
      <c r="A90" s="13" t="s">
        <v>475</v>
      </c>
      <c r="B90" s="26" t="s">
        <v>47</v>
      </c>
      <c r="C90" s="15">
        <v>910.9</v>
      </c>
      <c r="D90" s="13" t="s">
        <v>48</v>
      </c>
      <c r="E90" s="15">
        <v>960.06</v>
      </c>
      <c r="F90" s="15">
        <v>1.0</v>
      </c>
      <c r="G90" s="15">
        <v>1.0</v>
      </c>
      <c r="H90" s="15">
        <v>1.0</v>
      </c>
      <c r="I90" s="16">
        <v>-1.5761569</v>
      </c>
      <c r="J90" s="17">
        <f>IFERROR(__xludf.DUMMYFUNCTION("INDEX(GOOGLEFINANCE(A90, ""open"", $J$2, $J$2), 2, 2)"),935.5)</f>
        <v>935.5</v>
      </c>
      <c r="K90" s="17">
        <f>IFERROR(__xludf.DUMMYFUNCTION("INDEX(GOOGLEFINANCE(A90, ""close"", $K$2, $K$2), 2, 2)"),952.52)</f>
        <v>952.52</v>
      </c>
      <c r="L90" s="8">
        <f t="shared" si="1"/>
        <v>-1.819347942</v>
      </c>
      <c r="M90" s="18">
        <f t="shared" si="2"/>
        <v>-18.19347942</v>
      </c>
      <c r="N90" s="18" t="str">
        <f t="shared" si="3"/>
        <v>Call Spread</v>
      </c>
      <c r="O90" s="18" t="str">
        <f t="shared" si="4"/>
        <v>Success</v>
      </c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>
      <c r="A91" s="13" t="s">
        <v>486</v>
      </c>
      <c r="B91" s="26" t="s">
        <v>47</v>
      </c>
      <c r="C91" s="15">
        <v>330.59</v>
      </c>
      <c r="D91" s="13" t="s">
        <v>48</v>
      </c>
      <c r="E91" s="15">
        <v>349.61</v>
      </c>
      <c r="F91" s="15">
        <v>0.0</v>
      </c>
      <c r="G91" s="15">
        <v>1.0</v>
      </c>
      <c r="H91" s="15">
        <v>1.0</v>
      </c>
      <c r="I91" s="16">
        <v>0.0</v>
      </c>
      <c r="J91" s="17">
        <f>IFERROR(__xludf.DUMMYFUNCTION("INDEX(GOOGLEFINANCE(A91, ""open"", $J$2, $J$2), 2, 2)"),338.03)</f>
        <v>338.03</v>
      </c>
      <c r="K91" s="17">
        <f>IFERROR(__xludf.DUMMYFUNCTION("INDEX(GOOGLEFINANCE(A91, ""close"", $K$2, $K$2), 2, 2)"),343.41)</f>
        <v>343.41</v>
      </c>
      <c r="L91" s="8">
        <f t="shared" si="1"/>
        <v>-1.591574712</v>
      </c>
      <c r="M91" s="18">
        <f t="shared" si="2"/>
        <v>-15.91574712</v>
      </c>
      <c r="N91" s="18" t="str">
        <f t="shared" si="3"/>
        <v>Call Spread</v>
      </c>
      <c r="O91" s="18" t="str">
        <f t="shared" si="4"/>
        <v>Success</v>
      </c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>
      <c r="A92" s="13" t="s">
        <v>563</v>
      </c>
      <c r="B92" s="26" t="s">
        <v>47</v>
      </c>
      <c r="C92" s="15">
        <v>63.64</v>
      </c>
      <c r="D92" s="13" t="s">
        <v>48</v>
      </c>
      <c r="E92" s="15">
        <v>72.94</v>
      </c>
      <c r="F92" s="15">
        <v>0.0</v>
      </c>
      <c r="G92" s="15">
        <v>1.0</v>
      </c>
      <c r="H92" s="15">
        <v>1.0</v>
      </c>
      <c r="I92" s="16">
        <v>0.0</v>
      </c>
      <c r="J92" s="17">
        <f>IFERROR(__xludf.DUMMYFUNCTION("INDEX(GOOGLEFINANCE(A92, ""open"", $J$2, $J$2), 2, 2)"),68.78)</f>
        <v>68.78</v>
      </c>
      <c r="K92" s="17">
        <f>IFERROR(__xludf.DUMMYFUNCTION("INDEX(GOOGLEFINANCE(A92, ""close"", $K$2, $K$2), 2, 2)"),69.0)</f>
        <v>69</v>
      </c>
      <c r="L92" s="8">
        <f t="shared" si="1"/>
        <v>-0.3198604245</v>
      </c>
      <c r="M92" s="18">
        <f t="shared" si="2"/>
        <v>-3.198604245</v>
      </c>
      <c r="N92" s="18" t="str">
        <f t="shared" si="3"/>
        <v>Call Spread</v>
      </c>
      <c r="O92" s="18" t="str">
        <f t="shared" si="4"/>
        <v>Success</v>
      </c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>
      <c r="A93" s="13" t="s">
        <v>583</v>
      </c>
      <c r="B93" s="26" t="s">
        <v>47</v>
      </c>
      <c r="C93" s="15">
        <v>79.05</v>
      </c>
      <c r="D93" s="13" t="s">
        <v>48</v>
      </c>
      <c r="E93" s="15">
        <v>80.61</v>
      </c>
      <c r="F93" s="15">
        <v>0.0</v>
      </c>
      <c r="G93" s="15">
        <v>3.0</v>
      </c>
      <c r="H93" s="15">
        <v>1.0</v>
      </c>
      <c r="I93" s="16">
        <v>0.689623030310785</v>
      </c>
      <c r="J93" s="17">
        <f>IFERROR(__xludf.DUMMYFUNCTION("INDEX(GOOGLEFINANCE(A93, ""open"", $J$2, $J$2), 2, 2)"),79.8)</f>
        <v>79.8</v>
      </c>
      <c r="K93" s="17">
        <f>IFERROR(__xludf.DUMMYFUNCTION("INDEX(GOOGLEFINANCE(A93, ""close"", $K$2, $K$2), 2, 2)"),79.92)</f>
        <v>79.92</v>
      </c>
      <c r="L93" s="8">
        <f t="shared" si="1"/>
        <v>-0.1503759398</v>
      </c>
      <c r="M93" s="18">
        <f t="shared" si="2"/>
        <v>-1.503759398</v>
      </c>
      <c r="N93" s="18" t="str">
        <f t="shared" si="3"/>
        <v>Call Spread</v>
      </c>
      <c r="O93" s="18" t="str">
        <f t="shared" si="4"/>
        <v>Success</v>
      </c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>
      <c r="A94" s="13" t="s">
        <v>625</v>
      </c>
      <c r="B94" s="26" t="s">
        <v>47</v>
      </c>
      <c r="C94" s="15">
        <v>262.55</v>
      </c>
      <c r="D94" s="13" t="s">
        <v>48</v>
      </c>
      <c r="E94" s="15">
        <v>275.75</v>
      </c>
      <c r="F94" s="15">
        <v>0.0</v>
      </c>
      <c r="G94" s="15">
        <v>1.0</v>
      </c>
      <c r="H94" s="15">
        <v>1.0</v>
      </c>
      <c r="I94" s="16">
        <v>1.0209560637174</v>
      </c>
      <c r="J94" s="17">
        <f>IFERROR(__xludf.DUMMYFUNCTION("INDEX(GOOGLEFINANCE(A94, ""open"", $J$2, $J$2), 2, 2)"),268.77)</f>
        <v>268.77</v>
      </c>
      <c r="K94" s="17">
        <f>IFERROR(__xludf.DUMMYFUNCTION("INDEX(GOOGLEFINANCE(A94, ""close"", $K$2, $K$2), 2, 2)"),267.4)</f>
        <v>267.4</v>
      </c>
      <c r="L94" s="20">
        <f t="shared" si="1"/>
        <v>0.5097295085</v>
      </c>
      <c r="M94" s="18">
        <f t="shared" si="2"/>
        <v>5.097295085</v>
      </c>
      <c r="N94" s="18" t="str">
        <f t="shared" si="3"/>
        <v>Call Spread</v>
      </c>
      <c r="O94" s="18" t="str">
        <f t="shared" si="4"/>
        <v>Success</v>
      </c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>
      <c r="A95" s="13" t="s">
        <v>633</v>
      </c>
      <c r="B95" s="26" t="s">
        <v>47</v>
      </c>
      <c r="C95" s="15">
        <v>85.52</v>
      </c>
      <c r="D95" s="13" t="s">
        <v>48</v>
      </c>
      <c r="E95" s="15">
        <v>92.26</v>
      </c>
      <c r="F95" s="15">
        <v>0.0</v>
      </c>
      <c r="G95" s="15">
        <v>2.0</v>
      </c>
      <c r="H95" s="15">
        <v>1.0</v>
      </c>
      <c r="I95" s="16">
        <v>1.01411696544662</v>
      </c>
      <c r="J95" s="17">
        <f>IFERROR(__xludf.DUMMYFUNCTION("INDEX(GOOGLEFINANCE(A95, ""open"", $J$2, $J$2), 2, 2)"),88.58)</f>
        <v>88.58</v>
      </c>
      <c r="K95" s="17">
        <f>IFERROR(__xludf.DUMMYFUNCTION("INDEX(GOOGLEFINANCE(A95, ""close"", $K$2, $K$2), 2, 2)"),88.0)</f>
        <v>88</v>
      </c>
      <c r="L95" s="8">
        <f t="shared" si="1"/>
        <v>0.6547753443</v>
      </c>
      <c r="M95" s="18">
        <f t="shared" si="2"/>
        <v>6.547753443</v>
      </c>
      <c r="N95" s="18" t="str">
        <f t="shared" si="3"/>
        <v>Call Spread</v>
      </c>
      <c r="O95" s="18" t="str">
        <f t="shared" si="4"/>
        <v>Success</v>
      </c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>
      <c r="A96" s="13" t="s">
        <v>659</v>
      </c>
      <c r="B96" s="26" t="s">
        <v>47</v>
      </c>
      <c r="C96" s="15">
        <v>408.99</v>
      </c>
      <c r="D96" s="13" t="s">
        <v>48</v>
      </c>
      <c r="E96" s="15">
        <v>433.35</v>
      </c>
      <c r="F96" s="15">
        <v>1.0</v>
      </c>
      <c r="G96" s="15">
        <v>1.0</v>
      </c>
      <c r="H96" s="15">
        <v>0.0</v>
      </c>
      <c r="I96" s="16">
        <v>0.0</v>
      </c>
      <c r="J96" s="17">
        <f>IFERROR(__xludf.DUMMYFUNCTION("INDEX(GOOGLEFINANCE(A96, ""open"", $J$2, $J$2), 2, 2)"),425.9)</f>
        <v>425.9</v>
      </c>
      <c r="K96" s="17">
        <f>IFERROR(__xludf.DUMMYFUNCTION("INDEX(GOOGLEFINANCE(A96, ""close"", $K$2, $K$2), 2, 2)"),421.01)</f>
        <v>421.01</v>
      </c>
      <c r="L96" s="20">
        <f t="shared" si="1"/>
        <v>1.148156844</v>
      </c>
      <c r="M96" s="18">
        <f t="shared" si="2"/>
        <v>11.48156844</v>
      </c>
      <c r="N96" s="18" t="str">
        <f t="shared" si="3"/>
        <v>Call Spread</v>
      </c>
      <c r="O96" s="18" t="str">
        <f t="shared" si="4"/>
        <v>Success</v>
      </c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>
      <c r="A97" s="13" t="s">
        <v>686</v>
      </c>
      <c r="B97" s="26" t="s">
        <v>47</v>
      </c>
      <c r="C97" s="15">
        <v>12.78</v>
      </c>
      <c r="D97" s="13" t="s">
        <v>48</v>
      </c>
      <c r="E97" s="15">
        <v>14.88</v>
      </c>
      <c r="F97" s="15">
        <v>0.0</v>
      </c>
      <c r="G97" s="15">
        <v>0.0</v>
      </c>
      <c r="H97" s="15">
        <v>0.0</v>
      </c>
      <c r="I97" s="16">
        <v>0.0</v>
      </c>
      <c r="J97" s="17">
        <f>IFERROR(__xludf.DUMMYFUNCTION("INDEX(GOOGLEFINANCE(A97, ""open"", $J$2, $J$2), 2, 2)"),13.87)</f>
        <v>13.87</v>
      </c>
      <c r="K97" s="17">
        <f>IFERROR(__xludf.DUMMYFUNCTION("INDEX(GOOGLEFINANCE(A97, ""close"", $K$2, $K$2), 2, 2)"),13.62)</f>
        <v>13.62</v>
      </c>
      <c r="L97" s="20">
        <f t="shared" si="1"/>
        <v>1.802451334</v>
      </c>
      <c r="M97" s="18">
        <f t="shared" si="2"/>
        <v>18.02451334</v>
      </c>
      <c r="N97" s="18" t="str">
        <f t="shared" si="3"/>
        <v>Call Spread</v>
      </c>
      <c r="O97" s="18" t="str">
        <f t="shared" si="4"/>
        <v>Success</v>
      </c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>
      <c r="A98" s="13" t="s">
        <v>711</v>
      </c>
      <c r="B98" s="26" t="s">
        <v>47</v>
      </c>
      <c r="C98" s="15">
        <v>236.77</v>
      </c>
      <c r="D98" s="13" t="s">
        <v>48</v>
      </c>
      <c r="E98" s="15">
        <v>255.75</v>
      </c>
      <c r="F98" s="15">
        <v>1.0</v>
      </c>
      <c r="G98" s="15">
        <v>1.0</v>
      </c>
      <c r="H98" s="15">
        <v>1.0</v>
      </c>
      <c r="I98" s="16">
        <v>0.0</v>
      </c>
      <c r="J98" s="17">
        <f>IFERROR(__xludf.DUMMYFUNCTION("INDEX(GOOGLEFINANCE(A98, ""open"", $J$2, $J$2), 2, 2)"),245.54)</f>
        <v>245.54</v>
      </c>
      <c r="K98" s="17">
        <f>IFERROR(__xludf.DUMMYFUNCTION("INDEX(GOOGLEFINANCE(A98, ""close"", $K$2, $K$2), 2, 2)"),239.99)</f>
        <v>239.99</v>
      </c>
      <c r="L98" s="20">
        <f t="shared" si="1"/>
        <v>2.260324183</v>
      </c>
      <c r="M98" s="18">
        <f t="shared" si="2"/>
        <v>22.60324183</v>
      </c>
      <c r="N98" s="18" t="str">
        <f t="shared" si="3"/>
        <v>Call Spread</v>
      </c>
      <c r="O98" s="18" t="str">
        <f t="shared" si="4"/>
        <v>Success</v>
      </c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>
      <c r="A99" s="13" t="s">
        <v>717</v>
      </c>
      <c r="B99" s="26" t="s">
        <v>47</v>
      </c>
      <c r="C99" s="15">
        <v>217.89</v>
      </c>
      <c r="D99" s="13" t="s">
        <v>48</v>
      </c>
      <c r="E99" s="15">
        <v>231.59</v>
      </c>
      <c r="F99" s="15">
        <v>0.0</v>
      </c>
      <c r="G99" s="15">
        <v>1.0</v>
      </c>
      <c r="H99" s="15">
        <v>1.0</v>
      </c>
      <c r="I99" s="16">
        <v>1.55481020401116</v>
      </c>
      <c r="J99" s="17">
        <f>IFERROR(__xludf.DUMMYFUNCTION("INDEX(GOOGLEFINANCE(A99, ""open"", $J$2, $J$2), 2, 2)"),225.22)</f>
        <v>225.22</v>
      </c>
      <c r="K99" s="17">
        <f>IFERROR(__xludf.DUMMYFUNCTION("INDEX(GOOGLEFINANCE(A99, ""close"", $K$2, $K$2), 2, 2)"),219.4)</f>
        <v>219.4</v>
      </c>
      <c r="L99" s="20">
        <f t="shared" si="1"/>
        <v>2.584139952</v>
      </c>
      <c r="M99" s="18">
        <f t="shared" si="2"/>
        <v>25.84139952</v>
      </c>
      <c r="N99" s="18" t="str">
        <f t="shared" si="3"/>
        <v>Call Spread</v>
      </c>
      <c r="O99" s="18" t="str">
        <f t="shared" si="4"/>
        <v>Success</v>
      </c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>
      <c r="A100" s="13" t="s">
        <v>726</v>
      </c>
      <c r="B100" s="26" t="s">
        <v>47</v>
      </c>
      <c r="C100" s="15">
        <v>278.2</v>
      </c>
      <c r="D100" s="13" t="s">
        <v>48</v>
      </c>
      <c r="E100" s="15">
        <v>297.32</v>
      </c>
      <c r="F100" s="15">
        <v>0.0</v>
      </c>
      <c r="G100" s="15">
        <v>3.0</v>
      </c>
      <c r="H100" s="15">
        <v>1.0</v>
      </c>
      <c r="I100" s="16">
        <v>0.0</v>
      </c>
      <c r="J100" s="17">
        <f>IFERROR(__xludf.DUMMYFUNCTION("INDEX(GOOGLEFINANCE(A100, ""open"", $J$2, $J$2), 2, 2)"),286.78)</f>
        <v>286.78</v>
      </c>
      <c r="K100" s="17">
        <f>IFERROR(__xludf.DUMMYFUNCTION("INDEX(GOOGLEFINANCE(A100, ""close"", $K$2, $K$2), 2, 2)"),278.89)</f>
        <v>278.89</v>
      </c>
      <c r="L100" s="8">
        <f t="shared" si="1"/>
        <v>2.751237883</v>
      </c>
      <c r="M100" s="18">
        <f t="shared" si="2"/>
        <v>27.51237883</v>
      </c>
      <c r="N100" s="18" t="str">
        <f t="shared" si="3"/>
        <v>Call Spread</v>
      </c>
      <c r="O100" s="18" t="str">
        <f t="shared" si="4"/>
        <v>Success</v>
      </c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>
      <c r="A101" s="13" t="s">
        <v>752</v>
      </c>
      <c r="B101" s="26" t="s">
        <v>47</v>
      </c>
      <c r="C101" s="15">
        <v>478.49</v>
      </c>
      <c r="D101" s="13" t="s">
        <v>48</v>
      </c>
      <c r="E101" s="15">
        <v>513.23</v>
      </c>
      <c r="F101" s="15">
        <v>1.0</v>
      </c>
      <c r="G101" s="15">
        <v>1.0</v>
      </c>
      <c r="H101" s="15">
        <v>1.0</v>
      </c>
      <c r="I101" s="16">
        <v>0.0</v>
      </c>
      <c r="J101" s="17">
        <f>IFERROR(__xludf.DUMMYFUNCTION("INDEX(GOOGLEFINANCE(A101, ""open"", $J$2, $J$2), 2, 2)"),498.0)</f>
        <v>498</v>
      </c>
      <c r="K101" s="17">
        <f>IFERROR(__xludf.DUMMYFUNCTION("INDEX(GOOGLEFINANCE(A101, ""close"", $K$2, $K$2), 2, 2)"),483.12)</f>
        <v>483.12</v>
      </c>
      <c r="L101" s="8">
        <f t="shared" si="1"/>
        <v>2.987951807</v>
      </c>
      <c r="M101" s="18">
        <f t="shared" si="2"/>
        <v>29.87951807</v>
      </c>
      <c r="N101" s="18" t="str">
        <f t="shared" si="3"/>
        <v>Call Spread</v>
      </c>
      <c r="O101" s="18" t="str">
        <f t="shared" si="4"/>
        <v>Success</v>
      </c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>
      <c r="A102" s="13" t="s">
        <v>756</v>
      </c>
      <c r="B102" s="26" t="s">
        <v>47</v>
      </c>
      <c r="C102" s="15">
        <v>77.27</v>
      </c>
      <c r="D102" s="13" t="s">
        <v>48</v>
      </c>
      <c r="E102" s="15">
        <v>82.93</v>
      </c>
      <c r="F102" s="15">
        <v>1.0</v>
      </c>
      <c r="G102" s="15">
        <v>3.0</v>
      </c>
      <c r="H102" s="15">
        <v>1.0</v>
      </c>
      <c r="I102" s="16">
        <v>0.0</v>
      </c>
      <c r="J102" s="17">
        <f>IFERROR(__xludf.DUMMYFUNCTION("INDEX(GOOGLEFINANCE(A102, ""open"", $J$2, $J$2), 2, 2)"),79.96)</f>
        <v>79.96</v>
      </c>
      <c r="K102" s="17">
        <f>IFERROR(__xludf.DUMMYFUNCTION("INDEX(GOOGLEFINANCE(A102, ""close"", $K$2, $K$2), 2, 2)"),77.0)</f>
        <v>77</v>
      </c>
      <c r="L102" s="8">
        <f t="shared" si="1"/>
        <v>3.701850925</v>
      </c>
      <c r="M102" s="18">
        <f t="shared" si="2"/>
        <v>37.01850925</v>
      </c>
      <c r="N102" s="18" t="str">
        <f t="shared" si="3"/>
        <v>Call Spread</v>
      </c>
      <c r="O102" s="18" t="str">
        <f t="shared" si="4"/>
        <v>Success</v>
      </c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</row>
    <row r="103">
      <c r="A103" s="13" t="s">
        <v>766</v>
      </c>
      <c r="B103" s="26" t="s">
        <v>47</v>
      </c>
      <c r="C103" s="15">
        <v>10.88</v>
      </c>
      <c r="D103" s="13" t="s">
        <v>48</v>
      </c>
      <c r="E103" s="15">
        <v>12.12</v>
      </c>
      <c r="F103" s="15">
        <v>0.0</v>
      </c>
      <c r="G103" s="15">
        <v>1.0</v>
      </c>
      <c r="H103" s="15">
        <v>1.0</v>
      </c>
      <c r="I103" s="16">
        <v>0.0</v>
      </c>
      <c r="J103" s="17">
        <f>IFERROR(__xludf.DUMMYFUNCTION("INDEX(GOOGLEFINANCE(A103, ""open"", $J$2, $J$2), 2, 2)"),11.5)</f>
        <v>11.5</v>
      </c>
      <c r="K103" s="17">
        <f>IFERROR(__xludf.DUMMYFUNCTION("INDEX(GOOGLEFINANCE(A103, ""close"", $K$2, $K$2), 2, 2)"),11.03)</f>
        <v>11.03</v>
      </c>
      <c r="L103" s="8">
        <f t="shared" si="1"/>
        <v>4.086956522</v>
      </c>
      <c r="M103" s="18">
        <f t="shared" si="2"/>
        <v>40.86956522</v>
      </c>
      <c r="N103" s="18" t="str">
        <f t="shared" si="3"/>
        <v>Call Spread</v>
      </c>
      <c r="O103" s="18" t="str">
        <f t="shared" si="4"/>
        <v>Success</v>
      </c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>
      <c r="A104" s="13" t="s">
        <v>781</v>
      </c>
      <c r="B104" s="26" t="s">
        <v>47</v>
      </c>
      <c r="C104" s="15">
        <v>274.48</v>
      </c>
      <c r="D104" s="13" t="s">
        <v>48</v>
      </c>
      <c r="E104" s="15">
        <v>303.72</v>
      </c>
      <c r="F104" s="15">
        <v>0.0</v>
      </c>
      <c r="G104" s="15">
        <v>3.0</v>
      </c>
      <c r="H104" s="15">
        <v>0.0</v>
      </c>
      <c r="I104" s="16">
        <v>-3.5776359</v>
      </c>
      <c r="J104" s="17">
        <f>IFERROR(__xludf.DUMMYFUNCTION("INDEX(GOOGLEFINANCE(A104, ""open"", $J$2, $J$2), 2, 2)"),288.78)</f>
        <v>288.78</v>
      </c>
      <c r="K104" s="17">
        <f>IFERROR(__xludf.DUMMYFUNCTION("INDEX(GOOGLEFINANCE(A104, ""close"", $K$2, $K$2), 2, 2)"),274.51)</f>
        <v>274.51</v>
      </c>
      <c r="L104" s="20">
        <f t="shared" si="1"/>
        <v>4.941477942</v>
      </c>
      <c r="M104" s="18">
        <f t="shared" si="2"/>
        <v>49.41477942</v>
      </c>
      <c r="N104" s="18" t="str">
        <f t="shared" si="3"/>
        <v>Call Spread</v>
      </c>
      <c r="O104" s="18" t="str">
        <f t="shared" si="4"/>
        <v>Success</v>
      </c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>
      <c r="A105" s="13" t="s">
        <v>786</v>
      </c>
      <c r="B105" s="26" t="s">
        <v>47</v>
      </c>
      <c r="C105" s="15">
        <v>87.8</v>
      </c>
      <c r="D105" s="13" t="s">
        <v>48</v>
      </c>
      <c r="E105" s="15">
        <v>91.78</v>
      </c>
      <c r="F105" s="15">
        <v>0.0</v>
      </c>
      <c r="G105" s="15">
        <v>1.0</v>
      </c>
      <c r="H105" s="15">
        <v>0.0</v>
      </c>
      <c r="I105" s="16">
        <v>1.4259199061345</v>
      </c>
      <c r="J105" s="17">
        <f>IFERROR(__xludf.DUMMYFUNCTION("INDEX(GOOGLEFINANCE(A105, ""open"", $J$2, $J$2), 2, 2)"),89.46)</f>
        <v>89.46</v>
      </c>
      <c r="K105" s="17">
        <f>IFERROR(__xludf.DUMMYFUNCTION("INDEX(GOOGLEFINANCE(A105, ""close"", $K$2, $K$2), 2, 2)"),84.93)</f>
        <v>84.93</v>
      </c>
      <c r="L105" s="8">
        <f t="shared" si="1"/>
        <v>5.063715627</v>
      </c>
      <c r="M105" s="18">
        <f t="shared" si="2"/>
        <v>50.63715627</v>
      </c>
      <c r="N105" s="18" t="str">
        <f t="shared" si="3"/>
        <v>Call Spread</v>
      </c>
      <c r="O105" s="18" t="str">
        <f t="shared" si="4"/>
        <v>Success</v>
      </c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>
      <c r="A106" s="13" t="s">
        <v>787</v>
      </c>
      <c r="B106" s="26" t="s">
        <v>47</v>
      </c>
      <c r="C106" s="15">
        <v>94.92</v>
      </c>
      <c r="D106" s="13" t="s">
        <v>48</v>
      </c>
      <c r="E106" s="15">
        <v>103.76</v>
      </c>
      <c r="F106" s="15">
        <v>1.0</v>
      </c>
      <c r="G106" s="15">
        <v>3.0</v>
      </c>
      <c r="H106" s="15">
        <v>1.0</v>
      </c>
      <c r="I106" s="16">
        <v>0.0</v>
      </c>
      <c r="J106" s="17">
        <f>IFERROR(__xludf.DUMMYFUNCTION("INDEX(GOOGLEFINANCE(A106, ""open"", $J$2, $J$2), 2, 2)"),99.19)</f>
        <v>99.19</v>
      </c>
      <c r="K106" s="17">
        <f>IFERROR(__xludf.DUMMYFUNCTION("INDEX(GOOGLEFINANCE(A106, ""close"", $K$2, $K$2), 2, 2)"),94.13)</f>
        <v>94.13</v>
      </c>
      <c r="L106" s="8">
        <f t="shared" si="1"/>
        <v>5.101320698</v>
      </c>
      <c r="M106" s="18">
        <f t="shared" si="2"/>
        <v>51.01320698</v>
      </c>
      <c r="N106" s="18" t="str">
        <f t="shared" si="3"/>
        <v>Call Spread</v>
      </c>
      <c r="O106" s="18" t="str">
        <f t="shared" si="4"/>
        <v>Success</v>
      </c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>
      <c r="A107" s="13" t="s">
        <v>795</v>
      </c>
      <c r="B107" s="26" t="s">
        <v>47</v>
      </c>
      <c r="C107" s="15">
        <v>154.02</v>
      </c>
      <c r="D107" s="13" t="s">
        <v>48</v>
      </c>
      <c r="E107" s="15">
        <v>176.02</v>
      </c>
      <c r="F107" s="15">
        <v>1.0</v>
      </c>
      <c r="G107" s="15">
        <v>2.0</v>
      </c>
      <c r="H107" s="15">
        <v>0.0</v>
      </c>
      <c r="I107" s="16">
        <v>0.0</v>
      </c>
      <c r="J107" s="17">
        <f>IFERROR(__xludf.DUMMYFUNCTION("INDEX(GOOGLEFINANCE(A107, ""open"", $J$2, $J$2), 2, 2)"),164.52)</f>
        <v>164.52</v>
      </c>
      <c r="K107" s="17">
        <f>IFERROR(__xludf.DUMMYFUNCTION("INDEX(GOOGLEFINANCE(A107, ""close"", $K$2, $K$2), 2, 2)"),155.13)</f>
        <v>155.13</v>
      </c>
      <c r="L107" s="8">
        <f t="shared" si="1"/>
        <v>5.707512764</v>
      </c>
      <c r="M107" s="18">
        <f t="shared" si="2"/>
        <v>57.07512764</v>
      </c>
      <c r="N107" s="18" t="str">
        <f t="shared" si="3"/>
        <v>Call Spread</v>
      </c>
      <c r="O107" s="18" t="str">
        <f t="shared" si="4"/>
        <v>Success</v>
      </c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>
      <c r="A108" s="13" t="s">
        <v>797</v>
      </c>
      <c r="B108" s="26" t="s">
        <v>47</v>
      </c>
      <c r="C108" s="15">
        <v>158.35</v>
      </c>
      <c r="D108" s="13" t="s">
        <v>48</v>
      </c>
      <c r="E108" s="15">
        <v>173.59</v>
      </c>
      <c r="F108" s="15">
        <v>0.0</v>
      </c>
      <c r="G108" s="15">
        <v>3.0</v>
      </c>
      <c r="H108" s="15">
        <v>0.0</v>
      </c>
      <c r="I108" s="16">
        <v>-1.7553229</v>
      </c>
      <c r="J108" s="17">
        <f>IFERROR(__xludf.DUMMYFUNCTION("INDEX(GOOGLEFINANCE(A108, ""open"", $J$2, $J$2), 2, 2)"),166.0)</f>
        <v>166</v>
      </c>
      <c r="K108" s="17">
        <f>IFERROR(__xludf.DUMMYFUNCTION("INDEX(GOOGLEFINANCE(A108, ""close"", $K$2, $K$2), 2, 2)"),156.47)</f>
        <v>156.47</v>
      </c>
      <c r="L108" s="8">
        <f t="shared" si="1"/>
        <v>5.740963855</v>
      </c>
      <c r="M108" s="18">
        <f t="shared" si="2"/>
        <v>57.40963855</v>
      </c>
      <c r="N108" s="18" t="str">
        <f t="shared" si="3"/>
        <v>Call Spread</v>
      </c>
      <c r="O108" s="18" t="str">
        <f t="shared" si="4"/>
        <v>Success</v>
      </c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>
      <c r="A109" s="13" t="s">
        <v>798</v>
      </c>
      <c r="B109" s="26" t="s">
        <v>47</v>
      </c>
      <c r="C109" s="15">
        <v>95.11</v>
      </c>
      <c r="D109" s="13" t="s">
        <v>48</v>
      </c>
      <c r="E109" s="15">
        <v>102.09</v>
      </c>
      <c r="F109" s="15">
        <v>0.0</v>
      </c>
      <c r="G109" s="15">
        <v>2.0</v>
      </c>
      <c r="H109" s="15">
        <v>1.0</v>
      </c>
      <c r="I109" s="16">
        <v>0.0</v>
      </c>
      <c r="J109" s="17">
        <f>IFERROR(__xludf.DUMMYFUNCTION("INDEX(GOOGLEFINANCE(A109, ""open"", $J$2, $J$2), 2, 2)"),94.5)</f>
        <v>94.5</v>
      </c>
      <c r="K109" s="17">
        <f>IFERROR(__xludf.DUMMYFUNCTION("INDEX(GOOGLEFINANCE(A109, ""close"", $K$2, $K$2), 2, 2)"),88.97)</f>
        <v>88.97</v>
      </c>
      <c r="L109" s="20">
        <f t="shared" si="1"/>
        <v>5.851851852</v>
      </c>
      <c r="M109" s="18">
        <f t="shared" si="2"/>
        <v>58.51851852</v>
      </c>
      <c r="N109" s="18" t="str">
        <f t="shared" si="3"/>
        <v>Call Spread</v>
      </c>
      <c r="O109" s="18" t="str">
        <f t="shared" si="4"/>
        <v>Success</v>
      </c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>
      <c r="A110" s="13" t="s">
        <v>804</v>
      </c>
      <c r="B110" s="26" t="s">
        <v>47</v>
      </c>
      <c r="C110" s="15">
        <v>67.76</v>
      </c>
      <c r="D110" s="13" t="s">
        <v>48</v>
      </c>
      <c r="E110" s="15">
        <v>75.3</v>
      </c>
      <c r="F110" s="15">
        <v>1.0</v>
      </c>
      <c r="G110" s="15">
        <v>2.0</v>
      </c>
      <c r="H110" s="15">
        <v>1.0</v>
      </c>
      <c r="I110" s="16">
        <v>-1.1480263</v>
      </c>
      <c r="J110" s="17">
        <f>IFERROR(__xludf.DUMMYFUNCTION("INDEX(GOOGLEFINANCE(A110, ""open"", $J$2, $J$2), 2, 2)"),72.19)</f>
        <v>72.19</v>
      </c>
      <c r="K110" s="17">
        <f>IFERROR(__xludf.DUMMYFUNCTION("INDEX(GOOGLEFINANCE(A110, ""close"", $K$2, $K$2), 2, 2)"),67.69)</f>
        <v>67.69</v>
      </c>
      <c r="L110" s="8">
        <f t="shared" si="1"/>
        <v>6.233550353</v>
      </c>
      <c r="M110" s="18">
        <f t="shared" si="2"/>
        <v>62.33550353</v>
      </c>
      <c r="N110" s="18" t="str">
        <f t="shared" si="3"/>
        <v>Call Spread</v>
      </c>
      <c r="O110" s="18" t="str">
        <f t="shared" si="4"/>
        <v>Success</v>
      </c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>
      <c r="A111" s="13" t="s">
        <v>812</v>
      </c>
      <c r="B111" s="26" t="s">
        <v>47</v>
      </c>
      <c r="C111" s="15">
        <v>19.51</v>
      </c>
      <c r="D111" s="13" t="s">
        <v>48</v>
      </c>
      <c r="E111" s="15">
        <v>21.89</v>
      </c>
      <c r="F111" s="15">
        <v>0.0</v>
      </c>
      <c r="G111" s="15">
        <v>1.0</v>
      </c>
      <c r="H111" s="15">
        <v>0.0</v>
      </c>
      <c r="I111" s="16">
        <v>-2.7635579</v>
      </c>
      <c r="J111" s="17">
        <f>IFERROR(__xludf.DUMMYFUNCTION("INDEX(GOOGLEFINANCE(A111, ""open"", $J$2, $J$2), 2, 2)"),20.82)</f>
        <v>20.82</v>
      </c>
      <c r="K111" s="17">
        <f>IFERROR(__xludf.DUMMYFUNCTION("INDEX(GOOGLEFINANCE(A111, ""close"", $K$2, $K$2), 2, 2)"),19.31)</f>
        <v>19.31</v>
      </c>
      <c r="L111" s="20">
        <f t="shared" si="1"/>
        <v>7.252641691</v>
      </c>
      <c r="M111" s="18">
        <f t="shared" si="2"/>
        <v>72.52641691</v>
      </c>
      <c r="N111" s="18" t="str">
        <f t="shared" si="3"/>
        <v>Call Spread</v>
      </c>
      <c r="O111" s="18" t="str">
        <f t="shared" si="4"/>
        <v>Success</v>
      </c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>
      <c r="A112" s="13" t="s">
        <v>823</v>
      </c>
      <c r="B112" s="26" t="s">
        <v>47</v>
      </c>
      <c r="C112" s="15">
        <v>339.52</v>
      </c>
      <c r="D112" s="13" t="s">
        <v>48</v>
      </c>
      <c r="E112" s="15">
        <v>373.76</v>
      </c>
      <c r="F112" s="15">
        <v>0.0</v>
      </c>
      <c r="G112" s="15">
        <v>4.0</v>
      </c>
      <c r="H112" s="15">
        <v>0.0</v>
      </c>
      <c r="I112" s="16">
        <v>-1.0860319</v>
      </c>
      <c r="J112" s="17">
        <f>IFERROR(__xludf.DUMMYFUNCTION("INDEX(GOOGLEFINANCE(A112, ""open"", $J$2, $J$2), 2, 2)"),356.74)</f>
        <v>356.74</v>
      </c>
      <c r="K112" s="17">
        <f>IFERROR(__xludf.DUMMYFUNCTION("INDEX(GOOGLEFINANCE(A112, ""close"", $K$2, $K$2), 2, 2)"),328.54)</f>
        <v>328.54</v>
      </c>
      <c r="L112" s="20">
        <f t="shared" si="1"/>
        <v>7.904916746</v>
      </c>
      <c r="M112" s="18">
        <f t="shared" si="2"/>
        <v>79.04916746</v>
      </c>
      <c r="N112" s="18" t="str">
        <f t="shared" si="3"/>
        <v>Call Spread</v>
      </c>
      <c r="O112" s="18" t="str">
        <f t="shared" si="4"/>
        <v>Success</v>
      </c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>
      <c r="A113" s="13" t="s">
        <v>828</v>
      </c>
      <c r="B113" s="26" t="s">
        <v>47</v>
      </c>
      <c r="C113" s="15">
        <v>196.09</v>
      </c>
      <c r="D113" s="13" t="s">
        <v>48</v>
      </c>
      <c r="E113" s="15">
        <v>207.41</v>
      </c>
      <c r="F113" s="15">
        <v>1.0</v>
      </c>
      <c r="G113" s="15">
        <v>1.0</v>
      </c>
      <c r="H113" s="15">
        <v>1.0</v>
      </c>
      <c r="I113" s="16">
        <v>1.23048867444953</v>
      </c>
      <c r="J113" s="17">
        <f>IFERROR(__xludf.DUMMYFUNCTION("INDEX(GOOGLEFINANCE(A113, ""open"", $J$2, $J$2), 2, 2)"),201.35)</f>
        <v>201.35</v>
      </c>
      <c r="K113" s="17">
        <f>IFERROR(__xludf.DUMMYFUNCTION("INDEX(GOOGLEFINANCE(A113, ""close"", $K$2, $K$2), 2, 2)"),184.44)</f>
        <v>184.44</v>
      </c>
      <c r="L113" s="20">
        <f t="shared" si="1"/>
        <v>8.398311398</v>
      </c>
      <c r="M113" s="18">
        <f t="shared" si="2"/>
        <v>83.98311398</v>
      </c>
      <c r="N113" s="18" t="str">
        <f t="shared" si="3"/>
        <v>Call Spread</v>
      </c>
      <c r="O113" s="18" t="str">
        <f t="shared" si="4"/>
        <v>Success</v>
      </c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>
      <c r="A114" s="13" t="s">
        <v>832</v>
      </c>
      <c r="B114" s="26" t="s">
        <v>47</v>
      </c>
      <c r="C114" s="15">
        <v>44.94</v>
      </c>
      <c r="D114" s="13" t="s">
        <v>48</v>
      </c>
      <c r="E114" s="15">
        <v>48.58</v>
      </c>
      <c r="F114" s="15">
        <v>1.0</v>
      </c>
      <c r="G114" s="15">
        <v>1.0</v>
      </c>
      <c r="H114" s="15">
        <v>0.0</v>
      </c>
      <c r="I114" s="16">
        <v>0.0</v>
      </c>
      <c r="J114" s="17">
        <f>IFERROR(__xludf.DUMMYFUNCTION("INDEX(GOOGLEFINANCE(A114, ""open"", $J$2, $J$2), 2, 2)"),46.56)</f>
        <v>46.56</v>
      </c>
      <c r="K114" s="17">
        <f>IFERROR(__xludf.DUMMYFUNCTION("INDEX(GOOGLEFINANCE(A114, ""close"", $K$2, $K$2), 2, 2)"),42.52)</f>
        <v>42.52</v>
      </c>
      <c r="L114" s="20">
        <f t="shared" si="1"/>
        <v>8.676975945</v>
      </c>
      <c r="M114" s="18">
        <f t="shared" si="2"/>
        <v>86.76975945</v>
      </c>
      <c r="N114" s="18" t="str">
        <f t="shared" si="3"/>
        <v>Call Spread</v>
      </c>
      <c r="O114" s="18" t="str">
        <f t="shared" si="4"/>
        <v>Success</v>
      </c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</row>
    <row r="115">
      <c r="A115" s="13" t="s">
        <v>834</v>
      </c>
      <c r="B115" s="26" t="s">
        <v>47</v>
      </c>
      <c r="C115" s="15">
        <v>273.78</v>
      </c>
      <c r="D115" s="13" t="s">
        <v>48</v>
      </c>
      <c r="E115" s="15">
        <v>292.52</v>
      </c>
      <c r="F115" s="15">
        <v>1.0</v>
      </c>
      <c r="G115" s="15">
        <v>1.0</v>
      </c>
      <c r="H115" s="15">
        <v>1.0</v>
      </c>
      <c r="I115" s="16">
        <v>0.0</v>
      </c>
      <c r="J115" s="17">
        <f>IFERROR(__xludf.DUMMYFUNCTION("INDEX(GOOGLEFINANCE(A115, ""open"", $J$2, $J$2), 2, 2)"),280.19)</f>
        <v>280.19</v>
      </c>
      <c r="K115" s="17">
        <f>IFERROR(__xludf.DUMMYFUNCTION("INDEX(GOOGLEFINANCE(A115, ""close"", $K$2, $K$2), 2, 2)"),255.37)</f>
        <v>255.37</v>
      </c>
      <c r="L115" s="20">
        <f t="shared" si="1"/>
        <v>8.858274742</v>
      </c>
      <c r="M115" s="18">
        <f t="shared" si="2"/>
        <v>88.58274742</v>
      </c>
      <c r="N115" s="18" t="str">
        <f t="shared" si="3"/>
        <v>Call Spread</v>
      </c>
      <c r="O115" s="18" t="str">
        <f t="shared" si="4"/>
        <v>Success</v>
      </c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>
      <c r="A116" s="13" t="s">
        <v>849</v>
      </c>
      <c r="B116" s="26" t="s">
        <v>47</v>
      </c>
      <c r="C116" s="15">
        <v>160.55</v>
      </c>
      <c r="D116" s="13" t="s">
        <v>48</v>
      </c>
      <c r="E116" s="15">
        <v>180.93</v>
      </c>
      <c r="F116" s="15">
        <v>1.0</v>
      </c>
      <c r="G116" s="15">
        <v>2.0</v>
      </c>
      <c r="H116" s="15">
        <v>1.0</v>
      </c>
      <c r="I116" s="16">
        <v>0.0</v>
      </c>
      <c r="J116" s="17">
        <f>IFERROR(__xludf.DUMMYFUNCTION("INDEX(GOOGLEFINANCE(A116, ""open"", $J$2, $J$2), 2, 2)"),170.95)</f>
        <v>170.95</v>
      </c>
      <c r="K116" s="17">
        <f>IFERROR(__xludf.DUMMYFUNCTION("INDEX(GOOGLEFINANCE(A116, ""close"", $K$2, $K$2), 2, 2)"),150.99)</f>
        <v>150.99</v>
      </c>
      <c r="L116" s="20">
        <f t="shared" si="1"/>
        <v>11.67592863</v>
      </c>
      <c r="M116" s="18">
        <f t="shared" si="2"/>
        <v>116.7592863</v>
      </c>
      <c r="N116" s="18" t="str">
        <f t="shared" si="3"/>
        <v>Call Spread</v>
      </c>
      <c r="O116" s="18" t="str">
        <f t="shared" si="4"/>
        <v>Success</v>
      </c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</row>
    <row r="117">
      <c r="A117" s="13" t="s">
        <v>853</v>
      </c>
      <c r="B117" s="26" t="s">
        <v>47</v>
      </c>
      <c r="C117" s="15">
        <v>32.33</v>
      </c>
      <c r="D117" s="13" t="s">
        <v>48</v>
      </c>
      <c r="E117" s="15">
        <v>38.49</v>
      </c>
      <c r="F117" s="15">
        <v>1.0</v>
      </c>
      <c r="G117" s="15">
        <v>0.0</v>
      </c>
      <c r="H117" s="15">
        <v>0.0</v>
      </c>
      <c r="I117" s="16">
        <v>0.0</v>
      </c>
      <c r="J117" s="17">
        <f>IFERROR(__xludf.DUMMYFUNCTION("INDEX(GOOGLEFINANCE(A117, ""open"", $J$2, $J$2), 2, 2)"),35.79)</f>
        <v>35.79</v>
      </c>
      <c r="K117" s="17">
        <f>IFERROR(__xludf.DUMMYFUNCTION("INDEX(GOOGLEFINANCE(A117, ""close"", $K$2, $K$2), 2, 2)"),31.43)</f>
        <v>31.43</v>
      </c>
      <c r="L117" s="8">
        <f t="shared" si="1"/>
        <v>12.18217379</v>
      </c>
      <c r="M117" s="18">
        <f t="shared" si="2"/>
        <v>121.8217379</v>
      </c>
      <c r="N117" s="18" t="str">
        <f t="shared" si="3"/>
        <v>Call Spread</v>
      </c>
      <c r="O117" s="18" t="str">
        <f t="shared" si="4"/>
        <v>Success</v>
      </c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>
      <c r="A118" s="13" t="s">
        <v>854</v>
      </c>
      <c r="B118" s="26" t="s">
        <v>47</v>
      </c>
      <c r="C118" s="15">
        <v>4.66</v>
      </c>
      <c r="D118" s="13" t="s">
        <v>48</v>
      </c>
      <c r="E118" s="15">
        <v>5.74</v>
      </c>
      <c r="F118" s="15">
        <v>1.0</v>
      </c>
      <c r="G118" s="15">
        <v>3.0</v>
      </c>
      <c r="H118" s="15">
        <v>1.0</v>
      </c>
      <c r="I118" s="16">
        <v>0.0</v>
      </c>
      <c r="J118" s="17">
        <f>IFERROR(__xludf.DUMMYFUNCTION("INDEX(GOOGLEFINANCE(A118, ""open"", $J$2, $J$2), 2, 2)"),5.24)</f>
        <v>5.24</v>
      </c>
      <c r="K118" s="17">
        <f>IFERROR(__xludf.DUMMYFUNCTION("INDEX(GOOGLEFINANCE(A118, ""close"", $K$2, $K$2), 2, 2)"),4.6)</f>
        <v>4.6</v>
      </c>
      <c r="L118" s="8">
        <f t="shared" si="1"/>
        <v>12.21374046</v>
      </c>
      <c r="M118" s="18">
        <f t="shared" si="2"/>
        <v>122.1374046</v>
      </c>
      <c r="N118" s="18" t="str">
        <f t="shared" si="3"/>
        <v>Call Spread</v>
      </c>
      <c r="O118" s="18" t="str">
        <f t="shared" si="4"/>
        <v>Success</v>
      </c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>
      <c r="A119" s="13" t="s">
        <v>855</v>
      </c>
      <c r="B119" s="26" t="s">
        <v>47</v>
      </c>
      <c r="C119" s="15">
        <v>206.8</v>
      </c>
      <c r="D119" s="13" t="s">
        <v>48</v>
      </c>
      <c r="E119" s="15">
        <v>232.06</v>
      </c>
      <c r="F119" s="15">
        <v>1.0</v>
      </c>
      <c r="G119" s="15">
        <v>1.0</v>
      </c>
      <c r="H119" s="15">
        <v>1.0</v>
      </c>
      <c r="I119" s="16">
        <v>-0.7417504</v>
      </c>
      <c r="J119" s="17">
        <f>IFERROR(__xludf.DUMMYFUNCTION("INDEX(GOOGLEFINANCE(A119, ""open"", $J$2, $J$2), 2, 2)"),220.32)</f>
        <v>220.32</v>
      </c>
      <c r="K119" s="17">
        <f>IFERROR(__xludf.DUMMYFUNCTION("INDEX(GOOGLEFINANCE(A119, ""close"", $K$2, $K$2), 2, 2)"),193.33)</f>
        <v>193.33</v>
      </c>
      <c r="L119" s="20">
        <f t="shared" si="1"/>
        <v>12.25036311</v>
      </c>
      <c r="M119" s="18">
        <f t="shared" si="2"/>
        <v>122.5036311</v>
      </c>
      <c r="N119" s="18" t="str">
        <f t="shared" si="3"/>
        <v>Call Spread</v>
      </c>
      <c r="O119" s="18" t="str">
        <f t="shared" si="4"/>
        <v>Success</v>
      </c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</row>
    <row r="120">
      <c r="A120" s="13" t="s">
        <v>857</v>
      </c>
      <c r="B120" s="26" t="s">
        <v>47</v>
      </c>
      <c r="C120" s="15">
        <v>23.8</v>
      </c>
      <c r="D120" s="13" t="s">
        <v>48</v>
      </c>
      <c r="E120" s="15">
        <v>27.22</v>
      </c>
      <c r="F120" s="15">
        <v>0.0</v>
      </c>
      <c r="G120" s="15">
        <v>4.0</v>
      </c>
      <c r="H120" s="15">
        <v>0.0</v>
      </c>
      <c r="I120" s="16">
        <v>1.02965897738509</v>
      </c>
      <c r="J120" s="17">
        <f>IFERROR(__xludf.DUMMYFUNCTION("INDEX(GOOGLEFINANCE(A120, ""open"", $J$2, $J$2), 2, 2)"),25.33)</f>
        <v>25.33</v>
      </c>
      <c r="K120" s="17">
        <f>IFERROR(__xludf.DUMMYFUNCTION("INDEX(GOOGLEFINANCE(A120, ""close"", $K$2, $K$2), 2, 2)"),21.79)</f>
        <v>21.79</v>
      </c>
      <c r="L120" s="8">
        <f t="shared" si="1"/>
        <v>13.9755231</v>
      </c>
      <c r="M120" s="18">
        <f t="shared" si="2"/>
        <v>139.755231</v>
      </c>
      <c r="N120" s="18" t="str">
        <f t="shared" si="3"/>
        <v>Call Spread</v>
      </c>
      <c r="O120" s="18" t="str">
        <f t="shared" si="4"/>
        <v>Success</v>
      </c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</row>
    <row r="121">
      <c r="A121" s="13" t="s">
        <v>859</v>
      </c>
      <c r="B121" s="26" t="s">
        <v>47</v>
      </c>
      <c r="C121" s="15">
        <v>295.62</v>
      </c>
      <c r="D121" s="13" t="s">
        <v>48</v>
      </c>
      <c r="E121" s="15">
        <v>323.88</v>
      </c>
      <c r="F121" s="15">
        <v>1.0</v>
      </c>
      <c r="G121" s="15">
        <v>1.0</v>
      </c>
      <c r="H121" s="15">
        <v>1.0</v>
      </c>
      <c r="I121" s="16">
        <v>0.82212083</v>
      </c>
      <c r="J121" s="17">
        <f>IFERROR(__xludf.DUMMYFUNCTION("INDEX(GOOGLEFINANCE(A121, ""open"", $J$2, $J$2), 2, 2)"),309.01)</f>
        <v>309.01</v>
      </c>
      <c r="K121" s="17">
        <f>IFERROR(__xludf.DUMMYFUNCTION("INDEX(GOOGLEFINANCE(A121, ""close"", $K$2, $K$2), 2, 2)"),264.69)</f>
        <v>264.69</v>
      </c>
      <c r="L121" s="8">
        <f t="shared" si="1"/>
        <v>14.34257791</v>
      </c>
      <c r="M121" s="18">
        <f t="shared" si="2"/>
        <v>143.4257791</v>
      </c>
      <c r="N121" s="18" t="str">
        <f t="shared" si="3"/>
        <v>Call Spread</v>
      </c>
      <c r="O121" s="18" t="str">
        <f t="shared" si="4"/>
        <v>Success</v>
      </c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</row>
    <row r="122">
      <c r="A122" s="13" t="s">
        <v>864</v>
      </c>
      <c r="B122" s="26" t="s">
        <v>47</v>
      </c>
      <c r="C122" s="15">
        <v>8.54</v>
      </c>
      <c r="D122" s="13" t="s">
        <v>48</v>
      </c>
      <c r="E122" s="15">
        <v>9.44</v>
      </c>
      <c r="F122" s="15">
        <v>0.0</v>
      </c>
      <c r="G122" s="15">
        <v>2.0</v>
      </c>
      <c r="H122" s="15">
        <v>1.0</v>
      </c>
      <c r="I122" s="16">
        <v>-1.430445</v>
      </c>
      <c r="J122" s="17">
        <f>IFERROR(__xludf.DUMMYFUNCTION("INDEX(GOOGLEFINANCE(A122, ""open"", $J$2, $J$2), 2, 2)"),9.05)</f>
        <v>9.05</v>
      </c>
      <c r="K122" s="17">
        <f>IFERROR(__xludf.DUMMYFUNCTION("INDEX(GOOGLEFINANCE(A122, ""close"", $K$2, $K$2), 2, 2)"),7.3)</f>
        <v>7.3</v>
      </c>
      <c r="L122" s="8">
        <f t="shared" si="1"/>
        <v>19.33701657</v>
      </c>
      <c r="M122" s="18">
        <f t="shared" si="2"/>
        <v>193.3701657</v>
      </c>
      <c r="N122" s="18" t="str">
        <f t="shared" si="3"/>
        <v>Call Spread</v>
      </c>
      <c r="O122" s="18" t="str">
        <f t="shared" si="4"/>
        <v>Success</v>
      </c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</row>
    <row r="123">
      <c r="A123" s="13" t="s">
        <v>929</v>
      </c>
      <c r="B123" s="26" t="s">
        <v>47</v>
      </c>
      <c r="C123" s="15">
        <v>146.06</v>
      </c>
      <c r="D123" s="13" t="s">
        <v>48</v>
      </c>
      <c r="E123" s="15">
        <v>158.18</v>
      </c>
      <c r="F123" s="15">
        <v>0.0</v>
      </c>
      <c r="G123" s="15">
        <v>2.0</v>
      </c>
      <c r="H123" s="15">
        <v>1.0</v>
      </c>
      <c r="I123" s="16">
        <v>0.0</v>
      </c>
      <c r="J123" s="17">
        <f>IFERROR(__xludf.DUMMYFUNCTION("INDEX(GOOGLEFINANCE(A123, ""open"", $J$2, $J$2), 2, 2)"),152.27)</f>
        <v>152.27</v>
      </c>
      <c r="K123" s="17">
        <f>IFERROR(__xludf.DUMMYFUNCTION("INDEX(GOOGLEFINANCE(A123, ""close"", $K$2, $K$2), 2, 2)"),147.38)</f>
        <v>147.38</v>
      </c>
      <c r="L123" s="8">
        <f t="shared" si="1"/>
        <v>3.211400801</v>
      </c>
      <c r="M123" s="18">
        <f t="shared" si="2"/>
        <v>32.11400801</v>
      </c>
      <c r="N123" s="18" t="str">
        <f t="shared" si="3"/>
        <v>Call Spread</v>
      </c>
      <c r="O123" s="18" t="str">
        <f t="shared" si="4"/>
        <v>Success</v>
      </c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0" max="10" width="22.13"/>
    <col customWidth="1" min="11" max="11" width="22.5"/>
    <col customWidth="1" min="16" max="16" width="18.0"/>
  </cols>
  <sheetData>
    <row r="1">
      <c r="A1" s="31" t="s">
        <v>930</v>
      </c>
      <c r="B1" s="32"/>
      <c r="C1" s="31" t="s">
        <v>933</v>
      </c>
      <c r="D1" s="3"/>
      <c r="E1" s="3"/>
      <c r="F1" s="31" t="s">
        <v>934</v>
      </c>
      <c r="G1" s="4"/>
      <c r="H1" s="4"/>
      <c r="I1" s="5"/>
      <c r="J1" s="6"/>
      <c r="K1" s="6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>
      <c r="A2" s="1" t="s">
        <v>0</v>
      </c>
      <c r="B2" s="2">
        <v>45863.0</v>
      </c>
      <c r="C2" s="3"/>
      <c r="D2" s="3"/>
      <c r="E2" s="3"/>
      <c r="F2" s="4"/>
      <c r="G2" s="4"/>
      <c r="H2" s="4"/>
      <c r="I2" s="5"/>
      <c r="J2" s="6">
        <f>DATE(2025,7,28)</f>
        <v>45866</v>
      </c>
      <c r="K2" s="6">
        <f>DATE(2025,8,1)</f>
        <v>45870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>
      <c r="A3" s="1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8" t="s">
        <v>10</v>
      </c>
      <c r="K3" s="8" t="s">
        <v>11</v>
      </c>
      <c r="L3" s="7" t="s">
        <v>12</v>
      </c>
      <c r="M3" s="8" t="s">
        <v>13</v>
      </c>
      <c r="N3" s="8" t="s">
        <v>14</v>
      </c>
      <c r="O3" s="10" t="s">
        <v>15</v>
      </c>
      <c r="P3" s="11" t="s">
        <v>16</v>
      </c>
      <c r="Q3" s="12">
        <v>24.0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>
      <c r="A4" s="13" t="s">
        <v>935</v>
      </c>
      <c r="B4" s="14" t="s">
        <v>18</v>
      </c>
      <c r="C4" s="15">
        <v>66.91</v>
      </c>
      <c r="D4" s="13" t="s">
        <v>19</v>
      </c>
      <c r="E4" s="15">
        <v>62.93</v>
      </c>
      <c r="F4" s="15">
        <v>4.0</v>
      </c>
      <c r="G4" s="15">
        <v>2.0</v>
      </c>
      <c r="H4" s="15">
        <v>5.0</v>
      </c>
      <c r="I4" s="16">
        <v>2.36605744521813</v>
      </c>
      <c r="J4" s="17">
        <f>IFERROR(__xludf.DUMMYFUNCTION("INDEX(GOOGLEFINANCE(A4, ""open"", $J$2, $J$2), 2, 2)"),64.84)</f>
        <v>64.84</v>
      </c>
      <c r="K4" s="17">
        <f>IFERROR(__xludf.DUMMYFUNCTION("INDEX(GOOGLEFINANCE(A4, ""close"", $K$2, $K$2), 2, 2)"),61.37)</f>
        <v>61.37</v>
      </c>
      <c r="L4" s="8">
        <f t="shared" ref="L4:L27" si="1">IFERROR(if(B4="Bullish",((K4-J4)/J4*100),((J4-K4)/J4*100)),"")</f>
        <v>-5.351634793</v>
      </c>
      <c r="M4" s="18">
        <f t="shared" ref="M4:M27" si="2">iferror(1000*L4/100,"")</f>
        <v>-53.51634793</v>
      </c>
      <c r="N4" s="18" t="str">
        <f t="shared" ref="N4:N27" si="3">if(B4="Bullish","Put Spread","Call Spread")</f>
        <v>Put Spread</v>
      </c>
      <c r="O4" s="18" t="str">
        <f t="shared" ref="O4:O27" si="4">if(B4="Bullish",if(K4-E4&gt;0,"Success","No"),if(B4="Bearish",if(E4-K4&gt;0,"Success","No")))</f>
        <v>No</v>
      </c>
      <c r="P4" s="11" t="s">
        <v>20</v>
      </c>
      <c r="Q4" s="19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>
      <c r="A5" s="13" t="s">
        <v>278</v>
      </c>
      <c r="B5" s="14" t="s">
        <v>18</v>
      </c>
      <c r="C5" s="15">
        <v>13.17</v>
      </c>
      <c r="D5" s="13" t="s">
        <v>19</v>
      </c>
      <c r="E5" s="15">
        <v>11.57</v>
      </c>
      <c r="F5" s="15">
        <v>4.0</v>
      </c>
      <c r="G5" s="15">
        <v>2.0</v>
      </c>
      <c r="H5" s="15">
        <v>5.0</v>
      </c>
      <c r="I5" s="16">
        <v>4.03826142625596</v>
      </c>
      <c r="J5" s="17">
        <f>IFERROR(__xludf.DUMMYFUNCTION("INDEX(GOOGLEFINANCE(A5, ""open"", $J$2, $J$2), 2, 2)"),12.65)</f>
        <v>12.65</v>
      </c>
      <c r="K5" s="17">
        <f>IFERROR(__xludf.DUMMYFUNCTION("INDEX(GOOGLEFINANCE(A5, ""close"", $K$2, $K$2), 2, 2)"),12.17)</f>
        <v>12.17</v>
      </c>
      <c r="L5" s="8">
        <f t="shared" si="1"/>
        <v>-3.794466403</v>
      </c>
      <c r="M5" s="18">
        <f t="shared" si="2"/>
        <v>-37.94466403</v>
      </c>
      <c r="N5" s="18" t="str">
        <f t="shared" si="3"/>
        <v>Put Spread</v>
      </c>
      <c r="O5" s="18" t="str">
        <f t="shared" si="4"/>
        <v>Success</v>
      </c>
      <c r="P5" s="11" t="s">
        <v>22</v>
      </c>
      <c r="Q5" s="21">
        <f>countif(M2:M3102,"&gt;0")/Q3*100</f>
        <v>58.33333333</v>
      </c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>
      <c r="A6" s="13" t="s">
        <v>338</v>
      </c>
      <c r="B6" s="14" t="s">
        <v>18</v>
      </c>
      <c r="C6" s="15">
        <v>37.68</v>
      </c>
      <c r="D6" s="13" t="s">
        <v>19</v>
      </c>
      <c r="E6" s="15">
        <v>35.04</v>
      </c>
      <c r="F6" s="15">
        <v>4.0</v>
      </c>
      <c r="G6" s="15">
        <v>1.0</v>
      </c>
      <c r="H6" s="15">
        <v>5.0</v>
      </c>
      <c r="I6" s="16">
        <v>2.25653132736697</v>
      </c>
      <c r="J6" s="17">
        <f>IFERROR(__xludf.DUMMYFUNCTION("INDEX(GOOGLEFINANCE(A6, ""open"", $J$2, $J$2), 2, 2)"),36.35)</f>
        <v>36.35</v>
      </c>
      <c r="K6" s="17">
        <f>IFERROR(__xludf.DUMMYFUNCTION("INDEX(GOOGLEFINANCE(A6, ""close"", $K$2, $K$2), 2, 2)"),35.23)</f>
        <v>35.23</v>
      </c>
      <c r="L6" s="8">
        <f t="shared" si="1"/>
        <v>-3.081155433</v>
      </c>
      <c r="M6" s="18">
        <f t="shared" si="2"/>
        <v>-30.81155433</v>
      </c>
      <c r="N6" s="18" t="str">
        <f t="shared" si="3"/>
        <v>Put Spread</v>
      </c>
      <c r="O6" s="18" t="str">
        <f t="shared" si="4"/>
        <v>Success</v>
      </c>
      <c r="P6" s="11" t="s">
        <v>24</v>
      </c>
      <c r="Q6" s="22">
        <f>Q3*1000</f>
        <v>24000</v>
      </c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>
      <c r="A7" s="13" t="s">
        <v>474</v>
      </c>
      <c r="B7" s="14" t="s">
        <v>18</v>
      </c>
      <c r="C7" s="15">
        <v>194.52</v>
      </c>
      <c r="D7" s="13" t="s">
        <v>19</v>
      </c>
      <c r="E7" s="15">
        <v>177.92</v>
      </c>
      <c r="F7" s="15">
        <v>5.0</v>
      </c>
      <c r="G7" s="15">
        <v>2.0</v>
      </c>
      <c r="H7" s="15">
        <v>5.0</v>
      </c>
      <c r="I7" s="16">
        <v>2.31397092634185</v>
      </c>
      <c r="J7" s="17">
        <f>IFERROR(__xludf.DUMMYFUNCTION("INDEX(GOOGLEFINANCE(A7, ""open"", $J$2, $J$2), 2, 2)"),186.22)</f>
        <v>186.22</v>
      </c>
      <c r="K7" s="17">
        <f>IFERROR(__xludf.DUMMYFUNCTION("INDEX(GOOGLEFINANCE(A7, ""close"", $K$2, $K$2), 2, 2)"),182.83)</f>
        <v>182.83</v>
      </c>
      <c r="L7" s="8">
        <f t="shared" si="1"/>
        <v>-1.820427451</v>
      </c>
      <c r="M7" s="18">
        <f t="shared" si="2"/>
        <v>-18.20427451</v>
      </c>
      <c r="N7" s="18" t="str">
        <f t="shared" si="3"/>
        <v>Put Spread</v>
      </c>
      <c r="O7" s="18" t="str">
        <f t="shared" si="4"/>
        <v>Success</v>
      </c>
      <c r="P7" s="11" t="s">
        <v>13</v>
      </c>
      <c r="Q7" s="23">
        <f>sum(M:M)</f>
        <v>348.9821623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>
      <c r="A8" s="13" t="s">
        <v>545</v>
      </c>
      <c r="B8" s="14" t="s">
        <v>18</v>
      </c>
      <c r="C8" s="15">
        <v>29.15</v>
      </c>
      <c r="D8" s="13" t="s">
        <v>19</v>
      </c>
      <c r="E8" s="15">
        <v>26.85</v>
      </c>
      <c r="F8" s="15">
        <v>4.0</v>
      </c>
      <c r="G8" s="15">
        <v>2.0</v>
      </c>
      <c r="H8" s="15">
        <v>5.0</v>
      </c>
      <c r="I8" s="16">
        <v>4.3260318965967</v>
      </c>
      <c r="J8" s="17">
        <f>IFERROR(__xludf.DUMMYFUNCTION("INDEX(GOOGLEFINANCE(A8, ""open"", $J$2, $J$2), 2, 2)"),27.93)</f>
        <v>27.93</v>
      </c>
      <c r="K8" s="17">
        <f>IFERROR(__xludf.DUMMYFUNCTION("INDEX(GOOGLEFINANCE(A8, ""close"", $K$2, $K$2), 2, 2)"),27.75)</f>
        <v>27.75</v>
      </c>
      <c r="L8" s="8">
        <f t="shared" si="1"/>
        <v>-0.6444683136</v>
      </c>
      <c r="M8" s="18">
        <f t="shared" si="2"/>
        <v>-6.444683136</v>
      </c>
      <c r="N8" s="18" t="str">
        <f t="shared" si="3"/>
        <v>Put Spread</v>
      </c>
      <c r="O8" s="18" t="str">
        <f t="shared" si="4"/>
        <v>Success</v>
      </c>
      <c r="P8" s="11" t="s">
        <v>27</v>
      </c>
      <c r="Q8" s="24">
        <f>Q7/Q6*100</f>
        <v>1.454092343</v>
      </c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>
      <c r="A9" s="13" t="s">
        <v>562</v>
      </c>
      <c r="B9" s="14" t="s">
        <v>18</v>
      </c>
      <c r="C9" s="15">
        <v>43.97</v>
      </c>
      <c r="D9" s="13" t="s">
        <v>19</v>
      </c>
      <c r="E9" s="15">
        <v>42.19</v>
      </c>
      <c r="F9" s="15">
        <v>5.0</v>
      </c>
      <c r="G9" s="15">
        <v>1.0</v>
      </c>
      <c r="H9" s="15">
        <v>5.0</v>
      </c>
      <c r="I9" s="16">
        <v>3.1387197274693</v>
      </c>
      <c r="J9" s="17">
        <f>IFERROR(__xludf.DUMMYFUNCTION("INDEX(GOOGLEFINANCE(A9, ""open"", $J$2, $J$2), 2, 2)"),43.02)</f>
        <v>43.02</v>
      </c>
      <c r="K9" s="17">
        <f>IFERROR(__xludf.DUMMYFUNCTION("INDEX(GOOGLEFINANCE(A9, ""close"", $K$2, $K$2), 2, 2)"),42.88)</f>
        <v>42.88</v>
      </c>
      <c r="L9" s="8">
        <f t="shared" si="1"/>
        <v>-0.3254300325</v>
      </c>
      <c r="M9" s="18">
        <f t="shared" si="2"/>
        <v>-3.254300325</v>
      </c>
      <c r="N9" s="18" t="str">
        <f t="shared" si="3"/>
        <v>Put Spread</v>
      </c>
      <c r="O9" s="18" t="str">
        <f t="shared" si="4"/>
        <v>Success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>
      <c r="A10" s="13" t="s">
        <v>617</v>
      </c>
      <c r="B10" s="14" t="s">
        <v>18</v>
      </c>
      <c r="C10" s="15">
        <v>110.59</v>
      </c>
      <c r="D10" s="13" t="s">
        <v>19</v>
      </c>
      <c r="E10" s="15">
        <v>109.07</v>
      </c>
      <c r="F10" s="15">
        <v>3.0</v>
      </c>
      <c r="G10" s="15">
        <v>2.0</v>
      </c>
      <c r="H10" s="15">
        <v>5.0</v>
      </c>
      <c r="I10" s="16">
        <v>2.16764691712625</v>
      </c>
      <c r="J10" s="17">
        <f>IFERROR(__xludf.DUMMYFUNCTION("INDEX(GOOGLEFINANCE(A10, ""open"", $J$2, $J$2), 2, 2)"),109.71)</f>
        <v>109.71</v>
      </c>
      <c r="K10" s="17">
        <f>IFERROR(__xludf.DUMMYFUNCTION("INDEX(GOOGLEFINANCE(A10, ""close"", $K$2, $K$2), 2, 2)"),110.17)</f>
        <v>110.17</v>
      </c>
      <c r="L10" s="8">
        <f t="shared" si="1"/>
        <v>0.4192872117</v>
      </c>
      <c r="M10" s="18">
        <f t="shared" si="2"/>
        <v>4.192872117</v>
      </c>
      <c r="N10" s="18" t="str">
        <f t="shared" si="3"/>
        <v>Put Spread</v>
      </c>
      <c r="O10" s="18" t="str">
        <f t="shared" si="4"/>
        <v>Success</v>
      </c>
      <c r="P10" s="11" t="s">
        <v>30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>
      <c r="A11" s="13" t="s">
        <v>638</v>
      </c>
      <c r="B11" s="14" t="s">
        <v>18</v>
      </c>
      <c r="C11" s="15">
        <v>29.27</v>
      </c>
      <c r="D11" s="13" t="s">
        <v>19</v>
      </c>
      <c r="E11" s="15">
        <v>26.57</v>
      </c>
      <c r="F11" s="15">
        <v>5.0</v>
      </c>
      <c r="G11" s="15">
        <v>1.0</v>
      </c>
      <c r="H11" s="15">
        <v>5.0</v>
      </c>
      <c r="I11" s="16">
        <v>2.13185544459331</v>
      </c>
      <c r="J11" s="17">
        <f>IFERROR(__xludf.DUMMYFUNCTION("INDEX(GOOGLEFINANCE(A11, ""open"", $J$2, $J$2), 2, 2)"),27.75)</f>
        <v>27.75</v>
      </c>
      <c r="K11" s="17">
        <f>IFERROR(__xludf.DUMMYFUNCTION("INDEX(GOOGLEFINANCE(A11, ""close"", $K$2, $K$2), 2, 2)"),27.94)</f>
        <v>27.94</v>
      </c>
      <c r="L11" s="8">
        <f t="shared" si="1"/>
        <v>0.6846846847</v>
      </c>
      <c r="M11" s="18">
        <f t="shared" si="2"/>
        <v>6.846846847</v>
      </c>
      <c r="N11" s="18" t="str">
        <f t="shared" si="3"/>
        <v>Put Spread</v>
      </c>
      <c r="O11" s="18" t="str">
        <f t="shared" si="4"/>
        <v>Success</v>
      </c>
      <c r="P11" s="11" t="s">
        <v>22</v>
      </c>
      <c r="Q11" s="25">
        <f>countif(O:O,"Success")/Q3*100</f>
        <v>87.5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>
      <c r="A12" s="13" t="s">
        <v>687</v>
      </c>
      <c r="B12" s="14" t="s">
        <v>18</v>
      </c>
      <c r="C12" s="15">
        <v>275.84</v>
      </c>
      <c r="D12" s="13" t="s">
        <v>19</v>
      </c>
      <c r="E12" s="15">
        <v>253.8</v>
      </c>
      <c r="F12" s="15">
        <v>3.0</v>
      </c>
      <c r="G12" s="15">
        <v>3.0</v>
      </c>
      <c r="H12" s="15">
        <v>5.0</v>
      </c>
      <c r="I12" s="16">
        <v>2.3176903656745</v>
      </c>
      <c r="J12" s="17">
        <f>IFERROR(__xludf.DUMMYFUNCTION("INDEX(GOOGLEFINANCE(A12, ""open"", $J$2, $J$2), 2, 2)"),265.0)</f>
        <v>265</v>
      </c>
      <c r="K12" s="17">
        <f>IFERROR(__xludf.DUMMYFUNCTION("INDEX(GOOGLEFINANCE(A12, ""close"", $K$2, $K$2), 2, 2)"),278.86)</f>
        <v>278.86</v>
      </c>
      <c r="L12" s="8">
        <f t="shared" si="1"/>
        <v>5.230188679</v>
      </c>
      <c r="M12" s="18">
        <f t="shared" si="2"/>
        <v>52.30188679</v>
      </c>
      <c r="N12" s="18" t="str">
        <f t="shared" si="3"/>
        <v>Put Spread</v>
      </c>
      <c r="O12" s="18" t="str">
        <f t="shared" si="4"/>
        <v>Success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>
      <c r="A13" s="13" t="s">
        <v>761</v>
      </c>
      <c r="B13" s="14" t="s">
        <v>18</v>
      </c>
      <c r="C13" s="15">
        <v>135.54</v>
      </c>
      <c r="D13" s="13" t="s">
        <v>19</v>
      </c>
      <c r="E13" s="15">
        <v>108.92</v>
      </c>
      <c r="F13" s="15">
        <v>5.0</v>
      </c>
      <c r="G13" s="15">
        <v>3.0</v>
      </c>
      <c r="H13" s="15">
        <v>5.0</v>
      </c>
      <c r="I13" s="16">
        <v>2.23300278</v>
      </c>
      <c r="J13" s="17">
        <f>IFERROR(__xludf.DUMMYFUNCTION("INDEX(GOOGLEFINANCE(A13, ""open"", $J$2, $J$2), 2, 2)"),126.17)</f>
        <v>126.17</v>
      </c>
      <c r="K13" s="17">
        <f>IFERROR(__xludf.DUMMYFUNCTION("INDEX(GOOGLEFINANCE(A13, ""close"", $K$2, $K$2), 2, 2)"),131.1)</f>
        <v>131.1</v>
      </c>
      <c r="L13" s="33">
        <f t="shared" si="1"/>
        <v>3.907426488</v>
      </c>
      <c r="M13" s="18">
        <f t="shared" si="2"/>
        <v>39.07426488</v>
      </c>
      <c r="N13" s="18" t="str">
        <f t="shared" si="3"/>
        <v>Put Spread</v>
      </c>
      <c r="O13" s="18" t="str">
        <f t="shared" si="4"/>
        <v>Success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>
      <c r="A14" s="13" t="s">
        <v>66</v>
      </c>
      <c r="B14" s="14" t="s">
        <v>18</v>
      </c>
      <c r="C14" s="15">
        <v>14.15</v>
      </c>
      <c r="D14" s="13" t="s">
        <v>19</v>
      </c>
      <c r="E14" s="15">
        <v>12.07</v>
      </c>
      <c r="F14" s="15">
        <v>5.0</v>
      </c>
      <c r="G14" s="15">
        <v>3.0</v>
      </c>
      <c r="H14" s="15">
        <v>1.0</v>
      </c>
      <c r="I14" s="16">
        <v>-1.4781844</v>
      </c>
      <c r="J14" s="17">
        <f>IFERROR(__xludf.DUMMYFUNCTION("INDEX(GOOGLEFINANCE(A14, ""open"", $J$2, $J$2), 2, 2)"),13.11)</f>
        <v>13.11</v>
      </c>
      <c r="K14" s="17">
        <f>IFERROR(__xludf.DUMMYFUNCTION("INDEX(GOOGLEFINANCE(A14, ""close"", $K$2, $K$2), 2, 2)"),11.75)</f>
        <v>11.75</v>
      </c>
      <c r="L14" s="8">
        <f t="shared" si="1"/>
        <v>-10.37376049</v>
      </c>
      <c r="M14" s="18">
        <f t="shared" si="2"/>
        <v>-103.7376049</v>
      </c>
      <c r="N14" s="18" t="str">
        <f t="shared" si="3"/>
        <v>Put Spread</v>
      </c>
      <c r="O14" s="18" t="str">
        <f t="shared" si="4"/>
        <v>No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>
      <c r="A15" s="13" t="s">
        <v>177</v>
      </c>
      <c r="B15" s="14" t="s">
        <v>18</v>
      </c>
      <c r="C15" s="15">
        <v>215.75</v>
      </c>
      <c r="D15" s="13" t="s">
        <v>19</v>
      </c>
      <c r="E15" s="15">
        <v>205.05</v>
      </c>
      <c r="F15" s="15">
        <v>5.0</v>
      </c>
      <c r="G15" s="15">
        <v>1.0</v>
      </c>
      <c r="H15" s="15">
        <v>1.0</v>
      </c>
      <c r="I15" s="16">
        <v>-1.0718163</v>
      </c>
      <c r="J15" s="17">
        <f>IFERROR(__xludf.DUMMYFUNCTION("INDEX(GOOGLEFINANCE(A15, ""open"", $J$2, $J$2), 2, 2)"),209.46)</f>
        <v>209.46</v>
      </c>
      <c r="K15" s="17">
        <f>IFERROR(__xludf.DUMMYFUNCTION("INDEX(GOOGLEFINANCE(A15, ""close"", $K$2, $K$2), 2, 2)"),197.78)</f>
        <v>197.78</v>
      </c>
      <c r="L15" s="8">
        <f t="shared" si="1"/>
        <v>-5.576243674</v>
      </c>
      <c r="M15" s="18">
        <f t="shared" si="2"/>
        <v>-55.76243674</v>
      </c>
      <c r="N15" s="18" t="str">
        <f t="shared" si="3"/>
        <v>Put Spread</v>
      </c>
      <c r="O15" s="18" t="str">
        <f t="shared" si="4"/>
        <v>No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>
      <c r="A16" s="13" t="s">
        <v>179</v>
      </c>
      <c r="B16" s="14" t="s">
        <v>18</v>
      </c>
      <c r="C16" s="15">
        <v>41.37</v>
      </c>
      <c r="D16" s="13" t="s">
        <v>19</v>
      </c>
      <c r="E16" s="15">
        <v>32.43</v>
      </c>
      <c r="F16" s="15">
        <v>2.0</v>
      </c>
      <c r="G16" s="15">
        <v>3.0</v>
      </c>
      <c r="H16" s="15">
        <v>1.0</v>
      </c>
      <c r="I16" s="16">
        <v>-3.8048086</v>
      </c>
      <c r="J16" s="17">
        <f>IFERROR(__xludf.DUMMYFUNCTION("INDEX(GOOGLEFINANCE(A16, ""open"", $J$2, $J$2), 2, 2)"),37.08)</f>
        <v>37.08</v>
      </c>
      <c r="K16" s="17">
        <f>IFERROR(__xludf.DUMMYFUNCTION("INDEX(GOOGLEFINANCE(A16, ""close"", $K$2, $K$2), 2, 2)"),35.02)</f>
        <v>35.02</v>
      </c>
      <c r="L16" s="8">
        <f t="shared" si="1"/>
        <v>-5.555555556</v>
      </c>
      <c r="M16" s="18">
        <f t="shared" si="2"/>
        <v>-55.55555556</v>
      </c>
      <c r="N16" s="18" t="str">
        <f t="shared" si="3"/>
        <v>Put Spread</v>
      </c>
      <c r="O16" s="18" t="str">
        <f t="shared" si="4"/>
        <v>Success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>
      <c r="A17" s="13" t="s">
        <v>475</v>
      </c>
      <c r="B17" s="26" t="s">
        <v>47</v>
      </c>
      <c r="C17" s="15">
        <v>910.9</v>
      </c>
      <c r="D17" s="13" t="s">
        <v>48</v>
      </c>
      <c r="E17" s="15">
        <v>960.06</v>
      </c>
      <c r="F17" s="15">
        <v>1.0</v>
      </c>
      <c r="G17" s="15">
        <v>1.0</v>
      </c>
      <c r="H17" s="15">
        <v>1.0</v>
      </c>
      <c r="I17" s="16">
        <v>-1.5761569</v>
      </c>
      <c r="J17" s="17">
        <f>IFERROR(__xludf.DUMMYFUNCTION("INDEX(GOOGLEFINANCE(A17, ""open"", $J$2, $J$2), 2, 2)"),935.5)</f>
        <v>935.5</v>
      </c>
      <c r="K17" s="17">
        <f>IFERROR(__xludf.DUMMYFUNCTION("INDEX(GOOGLEFINANCE(A17, ""close"", $K$2, $K$2), 2, 2)"),952.52)</f>
        <v>952.52</v>
      </c>
      <c r="L17" s="8">
        <f t="shared" si="1"/>
        <v>-1.819347942</v>
      </c>
      <c r="M17" s="18">
        <f t="shared" si="2"/>
        <v>-18.19347942</v>
      </c>
      <c r="N17" s="18" t="str">
        <f t="shared" si="3"/>
        <v>Call Spread</v>
      </c>
      <c r="O17" s="18" t="str">
        <f t="shared" si="4"/>
        <v>Success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>
      <c r="A18" s="13" t="s">
        <v>631</v>
      </c>
      <c r="B18" s="14" t="s">
        <v>18</v>
      </c>
      <c r="C18" s="15">
        <v>27.49</v>
      </c>
      <c r="D18" s="13" t="s">
        <v>19</v>
      </c>
      <c r="E18" s="15">
        <v>26.89</v>
      </c>
      <c r="F18" s="15">
        <v>5.0</v>
      </c>
      <c r="G18" s="15">
        <v>2.0</v>
      </c>
      <c r="H18" s="15">
        <v>1.0</v>
      </c>
      <c r="I18" s="16">
        <v>-1.9611322</v>
      </c>
      <c r="J18" s="17">
        <f>IFERROR(__xludf.DUMMYFUNCTION("INDEX(GOOGLEFINANCE(A18, ""open"", $J$2, $J$2), 2, 2)"),27.4)</f>
        <v>27.4</v>
      </c>
      <c r="K18" s="17">
        <f>IFERROR(__xludf.DUMMYFUNCTION("INDEX(GOOGLEFINANCE(A18, ""close"", $K$2, $K$2), 2, 2)"),27.57)</f>
        <v>27.57</v>
      </c>
      <c r="L18" s="8">
        <f t="shared" si="1"/>
        <v>0.6204379562</v>
      </c>
      <c r="M18" s="18">
        <f t="shared" si="2"/>
        <v>6.204379562</v>
      </c>
      <c r="N18" s="18" t="str">
        <f t="shared" si="3"/>
        <v>Put Spread</v>
      </c>
      <c r="O18" s="18" t="str">
        <f t="shared" si="4"/>
        <v>Success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>
      <c r="A19" s="13" t="s">
        <v>700</v>
      </c>
      <c r="B19" s="26" t="s">
        <v>47</v>
      </c>
      <c r="C19" s="15">
        <v>52.03</v>
      </c>
      <c r="D19" s="13" t="s">
        <v>48</v>
      </c>
      <c r="E19" s="15">
        <v>55.85</v>
      </c>
      <c r="F19" s="15">
        <v>3.0</v>
      </c>
      <c r="G19" s="15">
        <v>4.0</v>
      </c>
      <c r="H19" s="15">
        <v>0.0</v>
      </c>
      <c r="I19" s="16">
        <v>-1.1900154</v>
      </c>
      <c r="J19" s="17">
        <f>IFERROR(__xludf.DUMMYFUNCTION("INDEX(GOOGLEFINANCE(A19, ""open"", $J$2, $J$2), 2, 2)"),53.63)</f>
        <v>53.63</v>
      </c>
      <c r="K19" s="17">
        <f>IFERROR(__xludf.DUMMYFUNCTION("INDEX(GOOGLEFINANCE(A19, ""close"", $K$2, $K$2), 2, 2)"),52.53)</f>
        <v>52.53</v>
      </c>
      <c r="L19" s="8">
        <f t="shared" si="1"/>
        <v>2.051090807</v>
      </c>
      <c r="M19" s="18">
        <f t="shared" si="2"/>
        <v>20.51090807</v>
      </c>
      <c r="N19" s="18" t="str">
        <f t="shared" si="3"/>
        <v>Call Spread</v>
      </c>
      <c r="O19" s="18" t="str">
        <f t="shared" si="4"/>
        <v>Success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>
      <c r="A20" s="13" t="s">
        <v>751</v>
      </c>
      <c r="B20" s="26" t="s">
        <v>47</v>
      </c>
      <c r="C20" s="15">
        <v>67.47</v>
      </c>
      <c r="D20" s="13" t="s">
        <v>48</v>
      </c>
      <c r="E20" s="15">
        <v>78.39</v>
      </c>
      <c r="F20" s="15">
        <v>2.0</v>
      </c>
      <c r="G20" s="15">
        <v>3.0</v>
      </c>
      <c r="H20" s="15">
        <v>0.0</v>
      </c>
      <c r="I20" s="16">
        <v>-1.0993563</v>
      </c>
      <c r="J20" s="17">
        <f>IFERROR(__xludf.DUMMYFUNCTION("INDEX(GOOGLEFINANCE(A20, ""open"", $J$2, $J$2), 2, 2)"),73.05)</f>
        <v>73.05</v>
      </c>
      <c r="K20" s="17">
        <f>IFERROR(__xludf.DUMMYFUNCTION("INDEX(GOOGLEFINANCE(A20, ""close"", $K$2, $K$2), 2, 2)"),70.57)</f>
        <v>70.57</v>
      </c>
      <c r="L20" s="8">
        <f t="shared" si="1"/>
        <v>3.394934976</v>
      </c>
      <c r="M20" s="18">
        <f t="shared" si="2"/>
        <v>33.94934976</v>
      </c>
      <c r="N20" s="18" t="str">
        <f t="shared" si="3"/>
        <v>Call Spread</v>
      </c>
      <c r="O20" s="18" t="str">
        <f t="shared" si="4"/>
        <v>Success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>
      <c r="A21" s="13" t="s">
        <v>781</v>
      </c>
      <c r="B21" s="26" t="s">
        <v>47</v>
      </c>
      <c r="C21" s="15">
        <v>274.48</v>
      </c>
      <c r="D21" s="13" t="s">
        <v>48</v>
      </c>
      <c r="E21" s="15">
        <v>303.72</v>
      </c>
      <c r="F21" s="15">
        <v>0.0</v>
      </c>
      <c r="G21" s="15">
        <v>3.0</v>
      </c>
      <c r="H21" s="15">
        <v>0.0</v>
      </c>
      <c r="I21" s="16">
        <v>-3.5776359</v>
      </c>
      <c r="J21" s="17">
        <f>IFERROR(__xludf.DUMMYFUNCTION("INDEX(GOOGLEFINANCE(A21, ""open"", $J$2, $J$2), 2, 2)"),288.78)</f>
        <v>288.78</v>
      </c>
      <c r="K21" s="17">
        <f>IFERROR(__xludf.DUMMYFUNCTION("INDEX(GOOGLEFINANCE(A21, ""close"", $K$2, $K$2), 2, 2)"),274.51)</f>
        <v>274.51</v>
      </c>
      <c r="L21" s="20">
        <f t="shared" si="1"/>
        <v>4.941477942</v>
      </c>
      <c r="M21" s="18">
        <f t="shared" si="2"/>
        <v>49.41477942</v>
      </c>
      <c r="N21" s="18" t="str">
        <f t="shared" si="3"/>
        <v>Call Spread</v>
      </c>
      <c r="O21" s="18" t="str">
        <f t="shared" si="4"/>
        <v>Success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>
      <c r="A22" s="13" t="s">
        <v>792</v>
      </c>
      <c r="B22" s="14" t="s">
        <v>18</v>
      </c>
      <c r="C22" s="15">
        <v>10.67</v>
      </c>
      <c r="D22" s="13" t="s">
        <v>19</v>
      </c>
      <c r="E22" s="15">
        <v>8.69</v>
      </c>
      <c r="F22" s="15">
        <v>3.0</v>
      </c>
      <c r="G22" s="15">
        <v>2.0</v>
      </c>
      <c r="H22" s="15">
        <v>1.0</v>
      </c>
      <c r="I22" s="16">
        <v>-1.6386281</v>
      </c>
      <c r="J22" s="17">
        <f>IFERROR(__xludf.DUMMYFUNCTION("INDEX(GOOGLEFINANCE(A22, ""open"", $J$2, $J$2), 2, 2)"),9.96)</f>
        <v>9.96</v>
      </c>
      <c r="K22" s="17">
        <f>IFERROR(__xludf.DUMMYFUNCTION("INDEX(GOOGLEFINANCE(A22, ""close"", $K$2, $K$2), 2, 2)"),10.51)</f>
        <v>10.51</v>
      </c>
      <c r="L22" s="8">
        <f t="shared" si="1"/>
        <v>5.522088353</v>
      </c>
      <c r="M22" s="18">
        <f t="shared" si="2"/>
        <v>55.22088353</v>
      </c>
      <c r="N22" s="18" t="str">
        <f t="shared" si="3"/>
        <v>Put Spread</v>
      </c>
      <c r="O22" s="18" t="str">
        <f t="shared" si="4"/>
        <v>Success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>
      <c r="A23" s="13" t="s">
        <v>797</v>
      </c>
      <c r="B23" s="26" t="s">
        <v>47</v>
      </c>
      <c r="C23" s="15">
        <v>158.35</v>
      </c>
      <c r="D23" s="13" t="s">
        <v>48</v>
      </c>
      <c r="E23" s="15">
        <v>173.59</v>
      </c>
      <c r="F23" s="15">
        <v>0.0</v>
      </c>
      <c r="G23" s="15">
        <v>3.0</v>
      </c>
      <c r="H23" s="15">
        <v>0.0</v>
      </c>
      <c r="I23" s="16">
        <v>-1.7553229</v>
      </c>
      <c r="J23" s="17">
        <f>IFERROR(__xludf.DUMMYFUNCTION("INDEX(GOOGLEFINANCE(A23, ""open"", $J$2, $J$2), 2, 2)"),166.0)</f>
        <v>166</v>
      </c>
      <c r="K23" s="17">
        <f>IFERROR(__xludf.DUMMYFUNCTION("INDEX(GOOGLEFINANCE(A23, ""close"", $K$2, $K$2), 2, 2)"),156.47)</f>
        <v>156.47</v>
      </c>
      <c r="L23" s="8">
        <f t="shared" si="1"/>
        <v>5.740963855</v>
      </c>
      <c r="M23" s="18">
        <f t="shared" si="2"/>
        <v>57.40963855</v>
      </c>
      <c r="N23" s="18" t="str">
        <f t="shared" si="3"/>
        <v>Call Spread</v>
      </c>
      <c r="O23" s="18" t="str">
        <f t="shared" si="4"/>
        <v>Success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>
      <c r="A24" s="13" t="s">
        <v>804</v>
      </c>
      <c r="B24" s="26" t="s">
        <v>47</v>
      </c>
      <c r="C24" s="15">
        <v>67.76</v>
      </c>
      <c r="D24" s="13" t="s">
        <v>48</v>
      </c>
      <c r="E24" s="15">
        <v>75.3</v>
      </c>
      <c r="F24" s="15">
        <v>1.0</v>
      </c>
      <c r="G24" s="15">
        <v>2.0</v>
      </c>
      <c r="H24" s="15">
        <v>1.0</v>
      </c>
      <c r="I24" s="16">
        <v>-1.1480263</v>
      </c>
      <c r="J24" s="17">
        <f>IFERROR(__xludf.DUMMYFUNCTION("INDEX(GOOGLEFINANCE(A24, ""open"", $J$2, $J$2), 2, 2)"),72.19)</f>
        <v>72.19</v>
      </c>
      <c r="K24" s="17">
        <f>IFERROR(__xludf.DUMMYFUNCTION("INDEX(GOOGLEFINANCE(A24, ""close"", $K$2, $K$2), 2, 2)"),67.69)</f>
        <v>67.69</v>
      </c>
      <c r="L24" s="8">
        <f t="shared" si="1"/>
        <v>6.233550353</v>
      </c>
      <c r="M24" s="18">
        <f t="shared" si="2"/>
        <v>62.33550353</v>
      </c>
      <c r="N24" s="18" t="str">
        <f t="shared" si="3"/>
        <v>Call Spread</v>
      </c>
      <c r="O24" s="18" t="str">
        <f t="shared" si="4"/>
        <v>Success</v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>
      <c r="A25" s="13" t="s">
        <v>812</v>
      </c>
      <c r="B25" s="26" t="s">
        <v>47</v>
      </c>
      <c r="C25" s="15">
        <v>19.51</v>
      </c>
      <c r="D25" s="13" t="s">
        <v>48</v>
      </c>
      <c r="E25" s="15">
        <v>21.89</v>
      </c>
      <c r="F25" s="15">
        <v>0.0</v>
      </c>
      <c r="G25" s="15">
        <v>1.0</v>
      </c>
      <c r="H25" s="15">
        <v>0.0</v>
      </c>
      <c r="I25" s="16">
        <v>-2.7635579</v>
      </c>
      <c r="J25" s="17">
        <f>IFERROR(__xludf.DUMMYFUNCTION("INDEX(GOOGLEFINANCE(A25, ""open"", $J$2, $J$2), 2, 2)"),20.82)</f>
        <v>20.82</v>
      </c>
      <c r="K25" s="17">
        <f>IFERROR(__xludf.DUMMYFUNCTION("INDEX(GOOGLEFINANCE(A25, ""close"", $K$2, $K$2), 2, 2)"),19.31)</f>
        <v>19.31</v>
      </c>
      <c r="L25" s="20">
        <f t="shared" si="1"/>
        <v>7.252641691</v>
      </c>
      <c r="M25" s="18">
        <f t="shared" si="2"/>
        <v>72.52641691</v>
      </c>
      <c r="N25" s="18" t="str">
        <f t="shared" si="3"/>
        <v>Call Spread</v>
      </c>
      <c r="O25" s="18" t="str">
        <f t="shared" si="4"/>
        <v>Success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>
      <c r="A26" s="13" t="s">
        <v>823</v>
      </c>
      <c r="B26" s="26" t="s">
        <v>47</v>
      </c>
      <c r="C26" s="15">
        <v>339.52</v>
      </c>
      <c r="D26" s="13" t="s">
        <v>48</v>
      </c>
      <c r="E26" s="15">
        <v>373.76</v>
      </c>
      <c r="F26" s="15">
        <v>0.0</v>
      </c>
      <c r="G26" s="15">
        <v>4.0</v>
      </c>
      <c r="H26" s="15">
        <v>0.0</v>
      </c>
      <c r="I26" s="16">
        <v>-1.0860319</v>
      </c>
      <c r="J26" s="17">
        <f>IFERROR(__xludf.DUMMYFUNCTION("INDEX(GOOGLEFINANCE(A26, ""open"", $J$2, $J$2), 2, 2)"),356.74)</f>
        <v>356.74</v>
      </c>
      <c r="K26" s="17">
        <f>IFERROR(__xludf.DUMMYFUNCTION("INDEX(GOOGLEFINANCE(A26, ""close"", $K$2, $K$2), 2, 2)"),328.54)</f>
        <v>328.54</v>
      </c>
      <c r="L26" s="20">
        <f t="shared" si="1"/>
        <v>7.904916746</v>
      </c>
      <c r="M26" s="18">
        <f t="shared" si="2"/>
        <v>79.04916746</v>
      </c>
      <c r="N26" s="18" t="str">
        <f t="shared" si="3"/>
        <v>Call Spread</v>
      </c>
      <c r="O26" s="18" t="str">
        <f t="shared" si="4"/>
        <v>Success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>
      <c r="A27" s="13" t="s">
        <v>864</v>
      </c>
      <c r="B27" s="26" t="s">
        <v>47</v>
      </c>
      <c r="C27" s="15">
        <v>8.54</v>
      </c>
      <c r="D27" s="13" t="s">
        <v>48</v>
      </c>
      <c r="E27" s="15">
        <v>9.44</v>
      </c>
      <c r="F27" s="15">
        <v>0.0</v>
      </c>
      <c r="G27" s="15">
        <v>2.0</v>
      </c>
      <c r="H27" s="15">
        <v>1.0</v>
      </c>
      <c r="I27" s="16">
        <v>-1.430445</v>
      </c>
      <c r="J27" s="17">
        <f>IFERROR(__xludf.DUMMYFUNCTION("INDEX(GOOGLEFINANCE(A27, ""open"", $J$2, $J$2), 2, 2)"),9.05)</f>
        <v>9.05</v>
      </c>
      <c r="K27" s="17">
        <f>IFERROR(__xludf.DUMMYFUNCTION("INDEX(GOOGLEFINANCE(A27, ""close"", $K$2, $K$2), 2, 2)"),7.3)</f>
        <v>7.3</v>
      </c>
      <c r="L27" s="8">
        <f t="shared" si="1"/>
        <v>19.33701657</v>
      </c>
      <c r="M27" s="18">
        <f t="shared" si="2"/>
        <v>193.3701657</v>
      </c>
      <c r="N27" s="18" t="str">
        <f t="shared" si="3"/>
        <v>Call Spread</v>
      </c>
      <c r="O27" s="18" t="str">
        <f t="shared" si="4"/>
        <v>Success</v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6" max="16" width="18.0"/>
  </cols>
  <sheetData>
    <row r="1">
      <c r="A1" s="31" t="s">
        <v>930</v>
      </c>
      <c r="B1" s="32"/>
      <c r="C1" s="31" t="s">
        <v>936</v>
      </c>
      <c r="D1" s="3"/>
      <c r="E1" s="3"/>
      <c r="G1" s="31" t="s">
        <v>937</v>
      </c>
      <c r="H1" s="4"/>
      <c r="I1" s="5"/>
      <c r="J1" s="6"/>
      <c r="K1" s="6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>
      <c r="A2" s="1" t="s">
        <v>0</v>
      </c>
      <c r="B2" s="2">
        <v>45863.0</v>
      </c>
      <c r="C2" s="3"/>
      <c r="D2" s="3"/>
      <c r="E2" s="34" t="s">
        <v>938</v>
      </c>
      <c r="F2" s="4"/>
      <c r="G2" s="4"/>
      <c r="H2" s="4"/>
      <c r="I2" s="5"/>
      <c r="J2" s="6">
        <f>DATE(2025,7,28)</f>
        <v>45866</v>
      </c>
      <c r="K2" s="6">
        <f>DATE(2025,8,1)</f>
        <v>45870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>
      <c r="A3" s="1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8" t="s">
        <v>10</v>
      </c>
      <c r="K3" s="8" t="s">
        <v>11</v>
      </c>
      <c r="L3" s="7" t="s">
        <v>12</v>
      </c>
      <c r="M3" s="8" t="s">
        <v>13</v>
      </c>
      <c r="N3" s="8" t="s">
        <v>14</v>
      </c>
      <c r="O3" s="10" t="s">
        <v>15</v>
      </c>
      <c r="P3" s="11" t="s">
        <v>16</v>
      </c>
      <c r="Q3" s="12">
        <v>14.0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>
      <c r="A4" s="13" t="s">
        <v>278</v>
      </c>
      <c r="B4" s="14" t="s">
        <v>18</v>
      </c>
      <c r="C4" s="15">
        <v>13.17</v>
      </c>
      <c r="D4" s="13" t="s">
        <v>19</v>
      </c>
      <c r="E4" s="15">
        <v>11.57</v>
      </c>
      <c r="F4" s="15">
        <v>4.0</v>
      </c>
      <c r="G4" s="15">
        <v>2.0</v>
      </c>
      <c r="H4" s="15">
        <v>5.0</v>
      </c>
      <c r="I4" s="16">
        <v>4.03826142625596</v>
      </c>
      <c r="J4" s="17">
        <f>IFERROR(__xludf.DUMMYFUNCTION("INDEX(GOOGLEFINANCE(A4, ""open"", $J$2, $J$2), 2, 2)"),12.65)</f>
        <v>12.65</v>
      </c>
      <c r="K4" s="17">
        <f>IFERROR(__xludf.DUMMYFUNCTION("INDEX(GOOGLEFINANCE(A4, ""close"", $K$2, $K$2), 2, 2)"),12.17)</f>
        <v>12.17</v>
      </c>
      <c r="L4" s="8">
        <f t="shared" ref="L4:L17" si="1">IFERROR(if(B4="Bullish",((K4-J4)/J4*100),((J4-K4)/J4*100)),"")</f>
        <v>-3.794466403</v>
      </c>
      <c r="M4" s="18">
        <f t="shared" ref="M4:M17" si="2">iferror(1000*L4/100,"")</f>
        <v>-37.94466403</v>
      </c>
      <c r="N4" s="18" t="str">
        <f t="shared" ref="N4:N17" si="3">if(B4="Bullish","Put Spread","Call Spread")</f>
        <v>Put Spread</v>
      </c>
      <c r="O4" s="18" t="str">
        <f t="shared" ref="O4:O17" si="4">if(B4="Bullish",if(K4-E4&gt;0,"Success","No"),if(B4="Bearish",if(E4-K4&gt;0,"Success","No")))</f>
        <v>Success</v>
      </c>
      <c r="P4" s="11" t="s">
        <v>20</v>
      </c>
      <c r="Q4" s="19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>
      <c r="A5" s="13" t="s">
        <v>338</v>
      </c>
      <c r="B5" s="14" t="s">
        <v>18</v>
      </c>
      <c r="C5" s="15">
        <v>37.68</v>
      </c>
      <c r="D5" s="13" t="s">
        <v>19</v>
      </c>
      <c r="E5" s="15">
        <v>35.04</v>
      </c>
      <c r="F5" s="15">
        <v>4.0</v>
      </c>
      <c r="G5" s="15">
        <v>1.0</v>
      </c>
      <c r="H5" s="15">
        <v>5.0</v>
      </c>
      <c r="I5" s="16">
        <v>2.25653132736697</v>
      </c>
      <c r="J5" s="17">
        <f>IFERROR(__xludf.DUMMYFUNCTION("INDEX(GOOGLEFINANCE(A5, ""open"", $J$2, $J$2), 2, 2)"),36.35)</f>
        <v>36.35</v>
      </c>
      <c r="K5" s="17">
        <f>IFERROR(__xludf.DUMMYFUNCTION("INDEX(GOOGLEFINANCE(A5, ""close"", $K$2, $K$2), 2, 2)"),35.23)</f>
        <v>35.23</v>
      </c>
      <c r="L5" s="8">
        <f t="shared" si="1"/>
        <v>-3.081155433</v>
      </c>
      <c r="M5" s="18">
        <f t="shared" si="2"/>
        <v>-30.81155433</v>
      </c>
      <c r="N5" s="18" t="str">
        <f t="shared" si="3"/>
        <v>Put Spread</v>
      </c>
      <c r="O5" s="18" t="str">
        <f t="shared" si="4"/>
        <v>Success</v>
      </c>
      <c r="P5" s="11" t="s">
        <v>22</v>
      </c>
      <c r="Q5" s="21">
        <f>countif(M2:M3102,"&gt;0")/Q3*100</f>
        <v>57.14285714</v>
      </c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>
      <c r="A6" s="13" t="s">
        <v>474</v>
      </c>
      <c r="B6" s="14" t="s">
        <v>18</v>
      </c>
      <c r="C6" s="15">
        <v>194.52</v>
      </c>
      <c r="D6" s="13" t="s">
        <v>19</v>
      </c>
      <c r="E6" s="15">
        <v>177.92</v>
      </c>
      <c r="F6" s="15">
        <v>5.0</v>
      </c>
      <c r="G6" s="15">
        <v>2.0</v>
      </c>
      <c r="H6" s="15">
        <v>5.0</v>
      </c>
      <c r="I6" s="16">
        <v>2.31397092634185</v>
      </c>
      <c r="J6" s="17">
        <f>IFERROR(__xludf.DUMMYFUNCTION("INDEX(GOOGLEFINANCE(A6, ""open"", $J$2, $J$2), 2, 2)"),186.22)</f>
        <v>186.22</v>
      </c>
      <c r="K6" s="17">
        <f>IFERROR(__xludf.DUMMYFUNCTION("INDEX(GOOGLEFINANCE(A6, ""close"", $K$2, $K$2), 2, 2)"),182.83)</f>
        <v>182.83</v>
      </c>
      <c r="L6" s="8">
        <f t="shared" si="1"/>
        <v>-1.820427451</v>
      </c>
      <c r="M6" s="18">
        <f t="shared" si="2"/>
        <v>-18.20427451</v>
      </c>
      <c r="N6" s="18" t="str">
        <f t="shared" si="3"/>
        <v>Put Spread</v>
      </c>
      <c r="O6" s="18" t="str">
        <f t="shared" si="4"/>
        <v>Success</v>
      </c>
      <c r="P6" s="11" t="s">
        <v>24</v>
      </c>
      <c r="Q6" s="22">
        <f>Q3*1000</f>
        <v>14000</v>
      </c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>
      <c r="A7" s="13" t="s">
        <v>545</v>
      </c>
      <c r="B7" s="14" t="s">
        <v>18</v>
      </c>
      <c r="C7" s="15">
        <v>29.15</v>
      </c>
      <c r="D7" s="13" t="s">
        <v>19</v>
      </c>
      <c r="E7" s="15">
        <v>26.85</v>
      </c>
      <c r="F7" s="15">
        <v>4.0</v>
      </c>
      <c r="G7" s="15">
        <v>2.0</v>
      </c>
      <c r="H7" s="15">
        <v>5.0</v>
      </c>
      <c r="I7" s="16">
        <v>4.3260318965967</v>
      </c>
      <c r="J7" s="17">
        <f>IFERROR(__xludf.DUMMYFUNCTION("INDEX(GOOGLEFINANCE(A7, ""open"", $J$2, $J$2), 2, 2)"),27.93)</f>
        <v>27.93</v>
      </c>
      <c r="K7" s="17">
        <f>IFERROR(__xludf.DUMMYFUNCTION("INDEX(GOOGLEFINANCE(A7, ""close"", $K$2, $K$2), 2, 2)"),27.75)</f>
        <v>27.75</v>
      </c>
      <c r="L7" s="8">
        <f t="shared" si="1"/>
        <v>-0.6444683136</v>
      </c>
      <c r="M7" s="18">
        <f t="shared" si="2"/>
        <v>-6.444683136</v>
      </c>
      <c r="N7" s="18" t="str">
        <f t="shared" si="3"/>
        <v>Put Spread</v>
      </c>
      <c r="O7" s="18" t="str">
        <f t="shared" si="4"/>
        <v>Success</v>
      </c>
      <c r="P7" s="11" t="s">
        <v>13</v>
      </c>
      <c r="Q7" s="23">
        <f>sum(M:M)</f>
        <v>445.1738276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>
      <c r="A8" s="13" t="s">
        <v>562</v>
      </c>
      <c r="B8" s="14" t="s">
        <v>18</v>
      </c>
      <c r="C8" s="15">
        <v>43.97</v>
      </c>
      <c r="D8" s="13" t="s">
        <v>19</v>
      </c>
      <c r="E8" s="15">
        <v>42.19</v>
      </c>
      <c r="F8" s="15">
        <v>5.0</v>
      </c>
      <c r="G8" s="15">
        <v>1.0</v>
      </c>
      <c r="H8" s="15">
        <v>5.0</v>
      </c>
      <c r="I8" s="16">
        <v>3.1387197274693</v>
      </c>
      <c r="J8" s="17">
        <f>IFERROR(__xludf.DUMMYFUNCTION("INDEX(GOOGLEFINANCE(A8, ""open"", $J$2, $J$2), 2, 2)"),43.02)</f>
        <v>43.02</v>
      </c>
      <c r="K8" s="17">
        <f>IFERROR(__xludf.DUMMYFUNCTION("INDEX(GOOGLEFINANCE(A8, ""close"", $K$2, $K$2), 2, 2)"),42.88)</f>
        <v>42.88</v>
      </c>
      <c r="L8" s="8">
        <f t="shared" si="1"/>
        <v>-0.3254300325</v>
      </c>
      <c r="M8" s="18">
        <f t="shared" si="2"/>
        <v>-3.254300325</v>
      </c>
      <c r="N8" s="18" t="str">
        <f t="shared" si="3"/>
        <v>Put Spread</v>
      </c>
      <c r="O8" s="18" t="str">
        <f t="shared" si="4"/>
        <v>Success</v>
      </c>
      <c r="P8" s="11" t="s">
        <v>27</v>
      </c>
      <c r="Q8" s="24">
        <f>Q7/Q6*100</f>
        <v>3.179813054</v>
      </c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>
      <c r="A9" s="13" t="s">
        <v>638</v>
      </c>
      <c r="B9" s="14" t="s">
        <v>18</v>
      </c>
      <c r="C9" s="15">
        <v>29.27</v>
      </c>
      <c r="D9" s="13" t="s">
        <v>19</v>
      </c>
      <c r="E9" s="15">
        <v>26.57</v>
      </c>
      <c r="F9" s="15">
        <v>5.0</v>
      </c>
      <c r="G9" s="15">
        <v>1.0</v>
      </c>
      <c r="H9" s="15">
        <v>5.0</v>
      </c>
      <c r="I9" s="16">
        <v>2.13185544459331</v>
      </c>
      <c r="J9" s="17">
        <f>IFERROR(__xludf.DUMMYFUNCTION("INDEX(GOOGLEFINANCE(A9, ""open"", $J$2, $J$2), 2, 2)"),27.75)</f>
        <v>27.75</v>
      </c>
      <c r="K9" s="17">
        <f>IFERROR(__xludf.DUMMYFUNCTION("INDEX(GOOGLEFINANCE(A9, ""close"", $K$2, $K$2), 2, 2)"),27.94)</f>
        <v>27.94</v>
      </c>
      <c r="L9" s="8">
        <f t="shared" si="1"/>
        <v>0.6846846847</v>
      </c>
      <c r="M9" s="18">
        <f t="shared" si="2"/>
        <v>6.846846847</v>
      </c>
      <c r="N9" s="18" t="str">
        <f t="shared" si="3"/>
        <v>Put Spread</v>
      </c>
      <c r="O9" s="18" t="str">
        <f t="shared" si="4"/>
        <v>Success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>
      <c r="A10" s="13" t="s">
        <v>761</v>
      </c>
      <c r="B10" s="14" t="s">
        <v>18</v>
      </c>
      <c r="C10" s="15">
        <v>135.54</v>
      </c>
      <c r="D10" s="13" t="s">
        <v>19</v>
      </c>
      <c r="E10" s="15">
        <v>108.92</v>
      </c>
      <c r="F10" s="15">
        <v>5.0</v>
      </c>
      <c r="G10" s="15">
        <v>3.0</v>
      </c>
      <c r="H10" s="15">
        <v>5.0</v>
      </c>
      <c r="I10" s="16">
        <v>2.23300278</v>
      </c>
      <c r="J10" s="17">
        <f>IFERROR(__xludf.DUMMYFUNCTION("INDEX(GOOGLEFINANCE(A10, ""open"", $J$2, $J$2), 2, 2)"),126.17)</f>
        <v>126.17</v>
      </c>
      <c r="K10" s="17">
        <f>IFERROR(__xludf.DUMMYFUNCTION("INDEX(GOOGLEFINANCE(A10, ""close"", $K$2, $K$2), 2, 2)"),131.1)</f>
        <v>131.1</v>
      </c>
      <c r="L10" s="20">
        <f t="shared" si="1"/>
        <v>3.907426488</v>
      </c>
      <c r="M10" s="18">
        <f t="shared" si="2"/>
        <v>39.07426488</v>
      </c>
      <c r="N10" s="18" t="str">
        <f t="shared" si="3"/>
        <v>Put Spread</v>
      </c>
      <c r="O10" s="18" t="str">
        <f t="shared" si="4"/>
        <v>Success</v>
      </c>
      <c r="P10" s="11" t="s">
        <v>30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>
      <c r="A11" s="13" t="s">
        <v>475</v>
      </c>
      <c r="B11" s="26" t="s">
        <v>47</v>
      </c>
      <c r="C11" s="15">
        <v>910.9</v>
      </c>
      <c r="D11" s="13" t="s">
        <v>48</v>
      </c>
      <c r="E11" s="15">
        <v>960.06</v>
      </c>
      <c r="F11" s="15">
        <v>1.0</v>
      </c>
      <c r="G11" s="15">
        <v>1.0</v>
      </c>
      <c r="H11" s="15">
        <v>1.0</v>
      </c>
      <c r="I11" s="16">
        <v>-1.5761569</v>
      </c>
      <c r="J11" s="17">
        <f>IFERROR(__xludf.DUMMYFUNCTION("INDEX(GOOGLEFINANCE(A11, ""open"", $J$2, $J$2), 2, 2)"),935.5)</f>
        <v>935.5</v>
      </c>
      <c r="K11" s="17">
        <f>IFERROR(__xludf.DUMMYFUNCTION("INDEX(GOOGLEFINANCE(A11, ""close"", $K$2, $K$2), 2, 2)"),952.52)</f>
        <v>952.52</v>
      </c>
      <c r="L11" s="8">
        <f t="shared" si="1"/>
        <v>-1.819347942</v>
      </c>
      <c r="M11" s="18">
        <f t="shared" si="2"/>
        <v>-18.19347942</v>
      </c>
      <c r="N11" s="18" t="str">
        <f t="shared" si="3"/>
        <v>Call Spread</v>
      </c>
      <c r="O11" s="18" t="str">
        <f t="shared" si="4"/>
        <v>Success</v>
      </c>
      <c r="P11" s="11" t="s">
        <v>22</v>
      </c>
      <c r="Q11" s="25">
        <f>countif(O:O,"Success")/Q3*100</f>
        <v>100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>
      <c r="A12" s="13" t="s">
        <v>781</v>
      </c>
      <c r="B12" s="26" t="s">
        <v>47</v>
      </c>
      <c r="C12" s="15">
        <v>274.48</v>
      </c>
      <c r="D12" s="13" t="s">
        <v>48</v>
      </c>
      <c r="E12" s="15">
        <v>303.72</v>
      </c>
      <c r="F12" s="15">
        <v>0.0</v>
      </c>
      <c r="G12" s="15">
        <v>3.0</v>
      </c>
      <c r="H12" s="15">
        <v>0.0</v>
      </c>
      <c r="I12" s="16">
        <v>-3.5776359</v>
      </c>
      <c r="J12" s="17">
        <f>IFERROR(__xludf.DUMMYFUNCTION("INDEX(GOOGLEFINANCE(A12, ""open"", $J$2, $J$2), 2, 2)"),288.78)</f>
        <v>288.78</v>
      </c>
      <c r="K12" s="17">
        <f>IFERROR(__xludf.DUMMYFUNCTION("INDEX(GOOGLEFINANCE(A12, ""close"", $K$2, $K$2), 2, 2)"),274.51)</f>
        <v>274.51</v>
      </c>
      <c r="L12" s="20">
        <f t="shared" si="1"/>
        <v>4.941477942</v>
      </c>
      <c r="M12" s="18">
        <f t="shared" si="2"/>
        <v>49.41477942</v>
      </c>
      <c r="N12" s="18" t="str">
        <f t="shared" si="3"/>
        <v>Call Spread</v>
      </c>
      <c r="O12" s="18" t="str">
        <f t="shared" si="4"/>
        <v>Success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>
      <c r="A13" s="13" t="s">
        <v>797</v>
      </c>
      <c r="B13" s="26" t="s">
        <v>47</v>
      </c>
      <c r="C13" s="15">
        <v>158.35</v>
      </c>
      <c r="D13" s="13" t="s">
        <v>48</v>
      </c>
      <c r="E13" s="15">
        <v>173.59</v>
      </c>
      <c r="F13" s="15">
        <v>0.0</v>
      </c>
      <c r="G13" s="15">
        <v>3.0</v>
      </c>
      <c r="H13" s="15">
        <v>0.0</v>
      </c>
      <c r="I13" s="16">
        <v>-1.7553229</v>
      </c>
      <c r="J13" s="17">
        <f>IFERROR(__xludf.DUMMYFUNCTION("INDEX(GOOGLEFINANCE(A13, ""open"", $J$2, $J$2), 2, 2)"),166.0)</f>
        <v>166</v>
      </c>
      <c r="K13" s="17">
        <f>IFERROR(__xludf.DUMMYFUNCTION("INDEX(GOOGLEFINANCE(A13, ""close"", $K$2, $K$2), 2, 2)"),156.47)</f>
        <v>156.47</v>
      </c>
      <c r="L13" s="8">
        <f t="shared" si="1"/>
        <v>5.740963855</v>
      </c>
      <c r="M13" s="18">
        <f t="shared" si="2"/>
        <v>57.40963855</v>
      </c>
      <c r="N13" s="18" t="str">
        <f t="shared" si="3"/>
        <v>Call Spread</v>
      </c>
      <c r="O13" s="18" t="str">
        <f t="shared" si="4"/>
        <v>Success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>
      <c r="A14" s="13" t="s">
        <v>804</v>
      </c>
      <c r="B14" s="26" t="s">
        <v>47</v>
      </c>
      <c r="C14" s="15">
        <v>67.76</v>
      </c>
      <c r="D14" s="13" t="s">
        <v>48</v>
      </c>
      <c r="E14" s="15">
        <v>75.3</v>
      </c>
      <c r="F14" s="15">
        <v>1.0</v>
      </c>
      <c r="G14" s="15">
        <v>2.0</v>
      </c>
      <c r="H14" s="15">
        <v>1.0</v>
      </c>
      <c r="I14" s="16">
        <v>-1.1480263</v>
      </c>
      <c r="J14" s="17">
        <f>IFERROR(__xludf.DUMMYFUNCTION("INDEX(GOOGLEFINANCE(A14, ""open"", $J$2, $J$2), 2, 2)"),72.19)</f>
        <v>72.19</v>
      </c>
      <c r="K14" s="17">
        <f>IFERROR(__xludf.DUMMYFUNCTION("INDEX(GOOGLEFINANCE(A14, ""close"", $K$2, $K$2), 2, 2)"),67.69)</f>
        <v>67.69</v>
      </c>
      <c r="L14" s="8">
        <f t="shared" si="1"/>
        <v>6.233550353</v>
      </c>
      <c r="M14" s="18">
        <f t="shared" si="2"/>
        <v>62.33550353</v>
      </c>
      <c r="N14" s="18" t="str">
        <f t="shared" si="3"/>
        <v>Call Spread</v>
      </c>
      <c r="O14" s="18" t="str">
        <f t="shared" si="4"/>
        <v>Success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>
      <c r="A15" s="13" t="s">
        <v>812</v>
      </c>
      <c r="B15" s="26" t="s">
        <v>47</v>
      </c>
      <c r="C15" s="15">
        <v>19.51</v>
      </c>
      <c r="D15" s="13" t="s">
        <v>48</v>
      </c>
      <c r="E15" s="15">
        <v>21.89</v>
      </c>
      <c r="F15" s="15">
        <v>0.0</v>
      </c>
      <c r="G15" s="15">
        <v>1.0</v>
      </c>
      <c r="H15" s="15">
        <v>0.0</v>
      </c>
      <c r="I15" s="16">
        <v>-2.7635579</v>
      </c>
      <c r="J15" s="17">
        <f>IFERROR(__xludf.DUMMYFUNCTION("INDEX(GOOGLEFINANCE(A15, ""open"", $J$2, $J$2), 2, 2)"),20.82)</f>
        <v>20.82</v>
      </c>
      <c r="K15" s="17">
        <f>IFERROR(__xludf.DUMMYFUNCTION("INDEX(GOOGLEFINANCE(A15, ""close"", $K$2, $K$2), 2, 2)"),19.31)</f>
        <v>19.31</v>
      </c>
      <c r="L15" s="20">
        <f t="shared" si="1"/>
        <v>7.252641691</v>
      </c>
      <c r="M15" s="18">
        <f t="shared" si="2"/>
        <v>72.52641691</v>
      </c>
      <c r="N15" s="18" t="str">
        <f t="shared" si="3"/>
        <v>Call Spread</v>
      </c>
      <c r="O15" s="18" t="str">
        <f t="shared" si="4"/>
        <v>Success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>
      <c r="A16" s="13" t="s">
        <v>823</v>
      </c>
      <c r="B16" s="26" t="s">
        <v>47</v>
      </c>
      <c r="C16" s="15">
        <v>339.52</v>
      </c>
      <c r="D16" s="13" t="s">
        <v>48</v>
      </c>
      <c r="E16" s="15">
        <v>373.76</v>
      </c>
      <c r="F16" s="15">
        <v>0.0</v>
      </c>
      <c r="G16" s="15">
        <v>4.0</v>
      </c>
      <c r="H16" s="15">
        <v>0.0</v>
      </c>
      <c r="I16" s="16">
        <v>-1.0860319</v>
      </c>
      <c r="J16" s="17">
        <f>IFERROR(__xludf.DUMMYFUNCTION("INDEX(GOOGLEFINANCE(A16, ""open"", $J$2, $J$2), 2, 2)"),356.74)</f>
        <v>356.74</v>
      </c>
      <c r="K16" s="17">
        <f>IFERROR(__xludf.DUMMYFUNCTION("INDEX(GOOGLEFINANCE(A16, ""close"", $K$2, $K$2), 2, 2)"),328.54)</f>
        <v>328.54</v>
      </c>
      <c r="L16" s="20">
        <f t="shared" si="1"/>
        <v>7.904916746</v>
      </c>
      <c r="M16" s="18">
        <f t="shared" si="2"/>
        <v>79.04916746</v>
      </c>
      <c r="N16" s="18" t="str">
        <f t="shared" si="3"/>
        <v>Call Spread</v>
      </c>
      <c r="O16" s="18" t="str">
        <f t="shared" si="4"/>
        <v>Success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>
      <c r="A17" s="13" t="s">
        <v>864</v>
      </c>
      <c r="B17" s="26" t="s">
        <v>47</v>
      </c>
      <c r="C17" s="15">
        <v>8.54</v>
      </c>
      <c r="D17" s="13" t="s">
        <v>48</v>
      </c>
      <c r="E17" s="15">
        <v>9.44</v>
      </c>
      <c r="F17" s="15">
        <v>0.0</v>
      </c>
      <c r="G17" s="15">
        <v>2.0</v>
      </c>
      <c r="H17" s="15">
        <v>1.0</v>
      </c>
      <c r="I17" s="16">
        <v>-1.430445</v>
      </c>
      <c r="J17" s="17">
        <f>IFERROR(__xludf.DUMMYFUNCTION("INDEX(GOOGLEFINANCE(A17, ""open"", $J$2, $J$2), 2, 2)"),9.05)</f>
        <v>9.05</v>
      </c>
      <c r="K17" s="17">
        <f>IFERROR(__xludf.DUMMYFUNCTION("INDEX(GOOGLEFINANCE(A17, ""close"", $K$2, $K$2), 2, 2)"),7.3)</f>
        <v>7.3</v>
      </c>
      <c r="L17" s="8">
        <f t="shared" si="1"/>
        <v>19.33701657</v>
      </c>
      <c r="M17" s="18">
        <f t="shared" si="2"/>
        <v>193.3701657</v>
      </c>
      <c r="N17" s="18" t="str">
        <f t="shared" si="3"/>
        <v>Call Spread</v>
      </c>
      <c r="O17" s="18" t="str">
        <f t="shared" si="4"/>
        <v>Success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</sheetData>
  <drawing r:id="rId1"/>
</worksheet>
</file>